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orate Files\Website New\resource\"/>
    </mc:Choice>
  </mc:AlternateContent>
  <xr:revisionPtr revIDLastSave="0" documentId="13_ncr:1_{0FAC1C4B-FCE9-4966-AB93-844ADA3081D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Intermittent Loading of Cables" sheetId="7" r:id="rId1"/>
    <sheet name="Short Time Current Rating" sheetId="1" r:id="rId2"/>
    <sheet name="Background Information" sheetId="2" r:id="rId3"/>
    <sheet name="Impedance Tables" sheetId="4" r:id="rId4"/>
    <sheet name="NEC Tables for MV Cable" sheetId="5" r:id="rId5"/>
    <sheet name="Cable Damage Curves" sheetId="8" r:id="rId6"/>
  </sheets>
  <definedNames>
    <definedName name="CONDUCTORAREA">'Short Time Current Rating'!$B$9</definedName>
    <definedName name="_xlnm.Print_Area" localSheetId="2">'Background Information'!$B$1:$T$40,'Background Information'!$V$1:$AN$40</definedName>
    <definedName name="_xlnm.Print_Area" localSheetId="0">'Intermittent Loading of Cables'!$B$1:$R$42,'Intermittent Loading of Cables'!$T$5:$X$55</definedName>
    <definedName name="_xlnm.Print_Area" localSheetId="1">'Short Time Current Rating'!$B$5:$Q$56,'Short Time Current Rating'!$S$5:$W$56</definedName>
    <definedName name="SHORTCIRCUITAMPS">'Short Time Current Rating'!$B$10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D49" i="7"/>
  <c r="K13" i="7" s="1"/>
  <c r="K14" i="7" l="1"/>
  <c r="B17" i="1"/>
  <c r="B32" i="1"/>
  <c r="T7" i="1" l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B42" i="1"/>
  <c r="B13" i="1"/>
</calcChain>
</file>

<file path=xl/sharedStrings.xml><?xml version="1.0" encoding="utf-8"?>
<sst xmlns="http://schemas.openxmlformats.org/spreadsheetml/2006/main" count="101" uniqueCount="48">
  <si>
    <t xml:space="preserve"> </t>
  </si>
  <si>
    <t>A = Conductor area - cmils</t>
  </si>
  <si>
    <t>I= Short Circuit Current - RMS Amps</t>
  </si>
  <si>
    <t>t = Time of Short Circuit  - 0.01 to 10 seconds</t>
  </si>
  <si>
    <t>Short Time Current Rating of Conductor</t>
  </si>
  <si>
    <t>Diameter (mm)</t>
  </si>
  <si>
    <t>AWG</t>
  </si>
  <si>
    <t>0000</t>
  </si>
  <si>
    <t>000</t>
  </si>
  <si>
    <t>00</t>
  </si>
  <si>
    <t>Circular Mils</t>
  </si>
  <si>
    <t>Area (mm2)</t>
  </si>
  <si>
    <t>Diameter (Inches)</t>
  </si>
  <si>
    <t>Cable/Conductor Rating</t>
  </si>
  <si>
    <t>Bus Bar Rating</t>
  </si>
  <si>
    <t>1/4 x 1"</t>
  </si>
  <si>
    <t>1/4 x 2"</t>
  </si>
  <si>
    <t>1/2 x 2"</t>
  </si>
  <si>
    <t>1/4 x 3"</t>
  </si>
  <si>
    <t>1/2 x 3"</t>
  </si>
  <si>
    <t>Width (Inches)</t>
  </si>
  <si>
    <t>Thickness (Inches)</t>
  </si>
  <si>
    <t>Area (inches2)</t>
  </si>
  <si>
    <t>about 000</t>
  </si>
  <si>
    <t>AWG/MCM</t>
  </si>
  <si>
    <t>T1 = Operating Temperature (degree C)</t>
  </si>
  <si>
    <t>T2 = Maximum Temperature (degree C)</t>
  </si>
  <si>
    <t>t = Time of Short Circuit or Load Current (in seconds)</t>
  </si>
  <si>
    <t>Copper Conductors - Calculation of Cmils</t>
  </si>
  <si>
    <t>Copper Conductors - Calculation of Time</t>
  </si>
  <si>
    <t>Aluminum Conductors - Calculation of Time</t>
  </si>
  <si>
    <t>Northeast Power Systems, Inc.</t>
  </si>
  <si>
    <t xml:space="preserve">66 Carey Road, Queensbury, NY              </t>
  </si>
  <si>
    <t>Phone: (518) 792-4776   Fax: (518) 792-5767    www.nepsi.com</t>
  </si>
  <si>
    <t>I= Short Circuit/Overload Current - RMS Amps</t>
  </si>
  <si>
    <t>t = Time of Short Circuit or Overload Load Current (in seconds)</t>
  </si>
  <si>
    <t>t = Time of Short Circuit or Overload Current (in seconds)</t>
  </si>
  <si>
    <t>INTERMITTENT LOADING OF ELECTRIC CABLE</t>
  </si>
  <si>
    <t>Amps</t>
  </si>
  <si>
    <t>Seconds</t>
  </si>
  <si>
    <t>Equivalent RMS Current:</t>
  </si>
  <si>
    <t>amps</t>
  </si>
  <si>
    <t>Required Data</t>
  </si>
  <si>
    <t>Basis of Intermittent Loading</t>
  </si>
  <si>
    <t>Cable Utilization Factor:</t>
  </si>
  <si>
    <t>Period</t>
  </si>
  <si>
    <t>amps/Seconds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</si>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</sst>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6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12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B2B2B2"/>
      </right>
      <top/>
      <bottom/>
      <diagonal/>
    </border>
    <border>
      <left/>
      <right/>
      <top/>
      <bottom style="medium">
        <color indexed="64"/>
      </bottom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5" fillId="0" borderId="0"/>
    <xf numFmtId="164" fontId="6" fillId="0" borderId="0"/>
    <xf numFmtId="0" fontId="5" fillId="4" borderId="1" applyNumberFormat="0" applyFont="0" applyAlignment="0" applyProtection="0"/>
    <xf numFmtId="9" fontId="5" fillId="0" borderId="0" applyFont="0" applyFill="0" applyBorder="0" applyAlignment="0" applyProtection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55">
    <xf numFmtId="0" fontId="0" fillId="0" borderId="0" xfId="0"/>
    <xf numFmtId="0" fontId="1" fillId="2" borderId="1" xfId="1" applyBorder="1"/>
    <xf numFmtId="0" fontId="0" fillId="0" borderId="0" xfId="0" applyAlignment="1">
      <alignment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2" fontId="0" fillId="0" borderId="0" xfId="0" applyNumberFormat="1"/>
    <xf numFmtId="1" fontId="0" fillId="0" borderId="0" xfId="0" applyNumberFormat="1"/>
    <xf numFmtId="0" fontId="1" fillId="2" borderId="1" xfId="1" applyBorder="1" applyProtection="1">
      <protection locked="0"/>
    </xf>
    <xf numFmtId="0" fontId="1" fillId="2" borderId="0" xfId="1" applyProtection="1">
      <protection locked="0"/>
    </xf>
    <xf numFmtId="0" fontId="1" fillId="2" borderId="3" xfId="1" applyBorder="1" applyProtection="1">
      <protection locked="0"/>
    </xf>
    <xf numFmtId="0" fontId="0" fillId="0" borderId="0" xfId="0"/>
    <xf numFmtId="0" fontId="0" fillId="0" borderId="2" xfId="0" applyBorder="1"/>
    <xf numFmtId="0" fontId="9" fillId="0" borderId="2" xfId="0" applyFont="1" applyBorder="1"/>
    <xf numFmtId="0" fontId="10" fillId="0" borderId="2" xfId="0" applyFont="1" applyBorder="1"/>
    <xf numFmtId="0" fontId="10" fillId="0" borderId="0" xfId="0" applyFont="1"/>
    <xf numFmtId="0" fontId="11" fillId="0" borderId="0" xfId="0" applyFont="1"/>
    <xf numFmtId="0" fontId="5" fillId="0" borderId="0" xfId="2"/>
    <xf numFmtId="0" fontId="5" fillId="0" borderId="0" xfId="2" applyAlignment="1"/>
    <xf numFmtId="0" fontId="2" fillId="0" borderId="0" xfId="0" applyFont="1" applyBorder="1" applyAlignment="1"/>
    <xf numFmtId="0" fontId="1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5" fillId="0" borderId="0" xfId="2" applyProtection="1"/>
    <xf numFmtId="0" fontId="5" fillId="0" borderId="0" xfId="2"/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0" fontId="1" fillId="2" borderId="1" xfId="1" applyBorder="1" applyAlignment="1" applyProtection="1">
      <alignment horizontal="center"/>
      <protection locked="0"/>
    </xf>
    <xf numFmtId="0" fontId="5" fillId="0" borderId="0" xfId="2" applyAlignment="1" applyProtection="1">
      <alignment horizontal="center"/>
    </xf>
    <xf numFmtId="0" fontId="5" fillId="0" borderId="0" xfId="2" applyAlignment="1">
      <alignment horizontal="center"/>
    </xf>
    <xf numFmtId="0" fontId="9" fillId="0" borderId="0" xfId="0" applyFont="1" applyBorder="1"/>
    <xf numFmtId="0" fontId="15" fillId="0" borderId="0" xfId="0" applyFont="1" applyBorder="1" applyAlignment="1">
      <alignment horizontal="center" vertical="center"/>
    </xf>
    <xf numFmtId="0" fontId="5" fillId="0" borderId="2" xfId="2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2" applyAlignment="1" applyProtection="1">
      <alignment horizontal="center"/>
      <protection locked="0"/>
    </xf>
    <xf numFmtId="0" fontId="5" fillId="5" borderId="0" xfId="2" applyFill="1" applyAlignment="1" applyProtection="1">
      <protection locked="0" hidden="1"/>
    </xf>
    <xf numFmtId="0" fontId="5" fillId="5" borderId="0" xfId="2" applyFill="1" applyProtection="1">
      <protection locked="0" hidden="1"/>
    </xf>
    <xf numFmtId="0" fontId="0" fillId="5" borderId="0" xfId="0" applyFill="1" applyProtection="1">
      <protection locked="0" hidden="1"/>
    </xf>
    <xf numFmtId="0" fontId="13" fillId="5" borderId="0" xfId="0" applyFont="1" applyFill="1" applyProtection="1">
      <protection locked="0" hidden="1"/>
    </xf>
    <xf numFmtId="0" fontId="14" fillId="5" borderId="0" xfId="2" applyFont="1" applyFill="1" applyAlignment="1" applyProtection="1">
      <alignment horizontal="right"/>
      <protection locked="0" hidden="1"/>
    </xf>
    <xf numFmtId="0" fontId="12" fillId="5" borderId="0" xfId="0" applyFont="1" applyFill="1" applyProtection="1">
      <protection locked="0" hidden="1"/>
    </xf>
    <xf numFmtId="0" fontId="13" fillId="5" borderId="0" xfId="0" applyFont="1" applyFill="1" applyAlignment="1" applyProtection="1">
      <alignment horizontal="right"/>
      <protection locked="0" hidden="1"/>
    </xf>
    <xf numFmtId="1" fontId="12" fillId="5" borderId="0" xfId="0" applyNumberFormat="1" applyFont="1" applyFill="1" applyAlignment="1" applyProtection="1">
      <alignment horizontal="center"/>
    </xf>
    <xf numFmtId="10" fontId="12" fillId="5" borderId="0" xfId="8" applyNumberFormat="1" applyFont="1" applyFill="1" applyAlignment="1" applyProtection="1">
      <alignment horizontal="center"/>
    </xf>
    <xf numFmtId="0" fontId="0" fillId="0" borderId="4" xfId="0" applyBorder="1" applyAlignment="1">
      <alignment horizontal="center" vertical="center"/>
    </xf>
    <xf numFmtId="0" fontId="12" fillId="0" borderId="0" xfId="0" applyFont="1" applyBorder="1" applyAlignment="1">
      <alignment horizontal="right" vertical="top"/>
    </xf>
    <xf numFmtId="0" fontId="4" fillId="3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right"/>
    </xf>
    <xf numFmtId="0" fontId="2" fillId="0" borderId="2" xfId="0" applyFont="1" applyBorder="1" applyAlignment="1">
      <alignment horizontal="center"/>
    </xf>
  </cellXfs>
  <cellStyles count="9">
    <cellStyle name="Neutral" xfId="1" builtinId="28"/>
    <cellStyle name="Normal" xfId="0" builtinId="0"/>
    <cellStyle name="Normal 2" xfId="2" xr:uid="{00000000-0005-0000-0000-000002000000}"/>
    <cellStyle name="Normal 2 2" xfId="7" xr:uid="{00000000-0005-0000-0000-000003000000}"/>
    <cellStyle name="Normal 3" xfId="3" xr:uid="{00000000-0005-0000-0000-000004000000}"/>
    <cellStyle name="Normal 4" xfId="6" xr:uid="{00000000-0005-0000-0000-000005000000}"/>
    <cellStyle name="Note 2" xfId="4" xr:uid="{00000000-0005-0000-0000-000006000000}"/>
    <cellStyle name="Percent" xfId="8" builtinId="5"/>
    <cellStyle name="Percent 2" xfId="5" xr:uid="{00000000-0005-0000-0000-000008000000}"/>
  </cellStyles>
  <dxfs count="7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tmp"/><Relationship Id="rId1" Type="http://schemas.openxmlformats.org/officeDocument/2006/relationships/image" Target="../media/image3.tm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tmp"/><Relationship Id="rId2" Type="http://schemas.openxmlformats.org/officeDocument/2006/relationships/image" Target="../media/image6.tmp"/><Relationship Id="rId1" Type="http://schemas.openxmlformats.org/officeDocument/2006/relationships/image" Target="../media/image5.tmp"/><Relationship Id="rId4" Type="http://schemas.openxmlformats.org/officeDocument/2006/relationships/image" Target="../media/image8.tmp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tmp"/><Relationship Id="rId1" Type="http://schemas.openxmlformats.org/officeDocument/2006/relationships/image" Target="../media/image9.tm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tmp"/><Relationship Id="rId2" Type="http://schemas.openxmlformats.org/officeDocument/2006/relationships/image" Target="../media/image12.tmp"/><Relationship Id="rId1" Type="http://schemas.openxmlformats.org/officeDocument/2006/relationships/image" Target="../media/image11.tmp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tmp"/><Relationship Id="rId1" Type="http://schemas.openxmlformats.org/officeDocument/2006/relationships/image" Target="../media/image1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186463</xdr:colOff>
      <xdr:row>0</xdr:row>
      <xdr:rowOff>142874</xdr:rowOff>
    </xdr:from>
    <xdr:to>
      <xdr:col>17</xdr:col>
      <xdr:colOff>561975</xdr:colOff>
      <xdr:row>3</xdr:row>
      <xdr:rowOff>19049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438" y="142874"/>
          <a:ext cx="1594712" cy="714375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</xdr:row>
      <xdr:rowOff>47625</xdr:rowOff>
    </xdr:from>
    <xdr:to>
      <xdr:col>23</xdr:col>
      <xdr:colOff>1457325</xdr:colOff>
      <xdr:row>51</xdr:row>
      <xdr:rowOff>56652</xdr:rowOff>
    </xdr:to>
    <xdr:pic>
      <xdr:nvPicPr>
        <xdr:cNvPr id="7" name="Picture 6" descr="Screen Clippi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25200" y="1724025"/>
          <a:ext cx="6477000" cy="8981577"/>
        </a:xfrm>
        <a:prstGeom prst="rect">
          <a:avLst/>
        </a:prstGeom>
      </xdr:spPr>
    </xdr:pic>
    <xdr:clientData/>
  </xdr:twoCellAnchor>
  <xdr:twoCellAnchor>
    <xdr:from>
      <xdr:col>6</xdr:col>
      <xdr:colOff>9525</xdr:colOff>
      <xdr:row>15</xdr:row>
      <xdr:rowOff>28574</xdr:rowOff>
    </xdr:from>
    <xdr:to>
      <xdr:col>15</xdr:col>
      <xdr:colOff>114300</xdr:colOff>
      <xdr:row>27</xdr:row>
      <xdr:rowOff>133349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886200" y="3819524"/>
          <a:ext cx="5715000" cy="2390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Enter Current</a:t>
          </a:r>
          <a:r>
            <a:rPr lang="en-US" sz="1400" baseline="0"/>
            <a:t> (in amps), and the Period of Time (in Seconds) for up to 13 periods of time. Off time with amps at 0 amps, and time off shall also be listed. The Equivalent RMS Amps are calculated for the total period of time.</a:t>
          </a:r>
        </a:p>
        <a:p>
          <a:endParaRPr lang="en-US" sz="140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Cable utilization factor is the ratio of the time that the cable is in use to the total time that it could be in use.</a:t>
          </a:r>
          <a:endParaRPr lang="en-US" sz="1400">
            <a:effectLst/>
          </a:endParaRPr>
        </a:p>
        <a:p>
          <a:endParaRPr lang="en-US" sz="1400" baseline="0"/>
        </a:p>
        <a:p>
          <a:r>
            <a:rPr lang="en-US" sz="1400" baseline="0"/>
            <a:t>For Low Cable Utilization Factors, consideration should be given to using long barrelled lugs, 2-hole and 4-hole lugs when available,  and 4-hole  bus connections. 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6</xdr:row>
      <xdr:rowOff>66674</xdr:rowOff>
    </xdr:from>
    <xdr:to>
      <xdr:col>17</xdr:col>
      <xdr:colOff>66675</xdr:colOff>
      <xdr:row>51</xdr:row>
      <xdr:rowOff>28574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628650" y="1914524"/>
          <a:ext cx="9829800" cy="8582025"/>
          <a:chOff x="542925" y="790574"/>
          <a:chExt cx="9829800" cy="8534400"/>
        </a:xfrm>
      </xdr:grpSpPr>
      <xdr:pic>
        <xdr:nvPicPr>
          <xdr:cNvPr id="2" name="Picture 1" descr="Screen Clipping">
            <a:extLst>
              <a:ext uri="{FF2B5EF4-FFF2-40B4-BE49-F238E27FC236}">
                <a16:creationId xmlns:a16="http://schemas.microsoft.com/office/drawing/2014/main" id="{00000000-0008-0000-0100-000002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442" t="3159" r="9036"/>
          <a:stretch/>
        </xdr:blipFill>
        <xdr:spPr>
          <a:xfrm>
            <a:off x="6362700" y="790574"/>
            <a:ext cx="4010025" cy="4963241"/>
          </a:xfrm>
          <a:prstGeom prst="rect">
            <a:avLst/>
          </a:prstGeom>
        </xdr:spPr>
      </xdr:pic>
      <xdr:pic>
        <xdr:nvPicPr>
          <xdr:cNvPr id="4" name="Picture 3" descr="Screen Clipping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417" r="3667"/>
          <a:stretch/>
        </xdr:blipFill>
        <xdr:spPr>
          <a:xfrm>
            <a:off x="542925" y="5734050"/>
            <a:ext cx="9572625" cy="3590924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186463</xdr:colOff>
      <xdr:row>0</xdr:row>
      <xdr:rowOff>142874</xdr:rowOff>
    </xdr:from>
    <xdr:to>
      <xdr:col>16</xdr:col>
      <xdr:colOff>561975</xdr:colOff>
      <xdr:row>3</xdr:row>
      <xdr:rowOff>19049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9438" y="142874"/>
          <a:ext cx="1594712" cy="7143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114301</xdr:colOff>
      <xdr:row>0</xdr:row>
      <xdr:rowOff>95250</xdr:rowOff>
    </xdr:from>
    <xdr:to>
      <xdr:col>9</xdr:col>
      <xdr:colOff>571501</xdr:colOff>
      <xdr:row>37</xdr:row>
      <xdr:rowOff>45387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95250"/>
          <a:ext cx="5334000" cy="6998637"/>
        </a:xfrm>
        <a:prstGeom prst="rect">
          <a:avLst/>
        </a:prstGeom>
      </xdr:spPr>
    </xdr:pic>
    <xdr:clientData/>
  </xdr:twoCellAnchor>
  <xdr:twoCellAnchor>
    <xdr:from>
      <xdr:col>11</xdr:col>
      <xdr:colOff>57151</xdr:colOff>
      <xdr:row>0</xdr:row>
      <xdr:rowOff>152400</xdr:rowOff>
    </xdr:from>
    <xdr:to>
      <xdr:col>19</xdr:col>
      <xdr:colOff>401072</xdr:colOff>
      <xdr:row>36</xdr:row>
      <xdr:rowOff>161925</xdr:rowOff>
    </xdr:to>
    <xdr:pic>
      <xdr:nvPicPr>
        <xdr:cNvPr id="3" name="Picture 2" descr="Screen Clippi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1" y="152400"/>
          <a:ext cx="5220721" cy="6867525"/>
        </a:xfrm>
        <a:prstGeom prst="rect">
          <a:avLst/>
        </a:prstGeom>
      </xdr:spPr>
    </xdr:pic>
    <xdr:clientData/>
  </xdr:twoCellAnchor>
  <xdr:twoCellAnchor>
    <xdr:from>
      <xdr:col>21</xdr:col>
      <xdr:colOff>114299</xdr:colOff>
      <xdr:row>0</xdr:row>
      <xdr:rowOff>152400</xdr:rowOff>
    </xdr:from>
    <xdr:to>
      <xdr:col>30</xdr:col>
      <xdr:colOff>38898</xdr:colOff>
      <xdr:row>37</xdr:row>
      <xdr:rowOff>180515</xdr:rowOff>
    </xdr:to>
    <xdr:pic>
      <xdr:nvPicPr>
        <xdr:cNvPr id="4" name="Picture 3" descr="Screen Clippi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5899" y="152400"/>
          <a:ext cx="5410999" cy="7076615"/>
        </a:xfrm>
        <a:prstGeom prst="rect">
          <a:avLst/>
        </a:prstGeom>
      </xdr:spPr>
    </xdr:pic>
    <xdr:clientData/>
  </xdr:twoCellAnchor>
  <xdr:twoCellAnchor>
    <xdr:from>
      <xdr:col>30</xdr:col>
      <xdr:colOff>152401</xdr:colOff>
      <xdr:row>0</xdr:row>
      <xdr:rowOff>152400</xdr:rowOff>
    </xdr:from>
    <xdr:to>
      <xdr:col>39</xdr:col>
      <xdr:colOff>45109</xdr:colOff>
      <xdr:row>38</xdr:row>
      <xdr:rowOff>28575</xdr:rowOff>
    </xdr:to>
    <xdr:pic>
      <xdr:nvPicPr>
        <xdr:cNvPr id="5" name="Picture 4" descr="Screen Clippi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0401" y="152400"/>
          <a:ext cx="5379108" cy="71151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477679</xdr:colOff>
      <xdr:row>76</xdr:row>
      <xdr:rowOff>1022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pSpPr/>
      </xdr:nvGrpSpPr>
      <xdr:grpSpPr>
        <a:xfrm>
          <a:off x="0" y="0"/>
          <a:ext cx="10231279" cy="14479022"/>
          <a:chOff x="0" y="0"/>
          <a:chExt cx="10231279" cy="14479022"/>
        </a:xfrm>
      </xdr:grpSpPr>
      <xdr:pic>
        <xdr:nvPicPr>
          <xdr:cNvPr id="3" name="Picture 2" descr="Screen Clipping">
            <a:extLst>
              <a:ext uri="{FF2B5EF4-FFF2-40B4-BE49-F238E27FC236}">
                <a16:creationId xmlns:a16="http://schemas.microsoft.com/office/drawing/2014/main" id="{00000000-0008-0000-03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4947"/>
          <a:stretch/>
        </xdr:blipFill>
        <xdr:spPr>
          <a:xfrm>
            <a:off x="0" y="7524750"/>
            <a:ext cx="10201274" cy="6954272"/>
          </a:xfrm>
          <a:prstGeom prst="rect">
            <a:avLst/>
          </a:prstGeom>
        </xdr:spPr>
      </xdr:pic>
      <xdr:pic>
        <xdr:nvPicPr>
          <xdr:cNvPr id="4" name="Picture 3" descr="Screen Clipping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892"/>
          <a:stretch/>
        </xdr:blipFill>
        <xdr:spPr>
          <a:xfrm>
            <a:off x="0" y="0"/>
            <a:ext cx="10231279" cy="7553325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341648</xdr:colOff>
      <xdr:row>56</xdr:row>
      <xdr:rowOff>83594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0" y="0"/>
          <a:ext cx="13143248" cy="10751594"/>
          <a:chOff x="0" y="0"/>
          <a:chExt cx="13143248" cy="10751594"/>
        </a:xfrm>
      </xdr:grpSpPr>
      <xdr:pic>
        <xdr:nvPicPr>
          <xdr:cNvPr id="3" name="Picture 2" descr="Screen Clipping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9525"/>
            <a:ext cx="7800975" cy="4964257"/>
          </a:xfrm>
          <a:prstGeom prst="rect">
            <a:avLst/>
          </a:prstGeom>
        </xdr:spPr>
      </xdr:pic>
      <xdr:pic>
        <xdr:nvPicPr>
          <xdr:cNvPr id="4" name="Picture 3" descr="Screen Clipping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7991476" y="0"/>
            <a:ext cx="5151772" cy="5048250"/>
          </a:xfrm>
          <a:prstGeom prst="rect">
            <a:avLst/>
          </a:prstGeom>
        </xdr:spPr>
      </xdr:pic>
      <xdr:pic>
        <xdr:nvPicPr>
          <xdr:cNvPr id="5" name="Picture 4" descr="Screen Clipping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67207" y="5114924"/>
            <a:ext cx="5081118" cy="5636670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205296</xdr:colOff>
      <xdr:row>1</xdr:row>
      <xdr:rowOff>28574</xdr:rowOff>
    </xdr:from>
    <xdr:to>
      <xdr:col>9</xdr:col>
      <xdr:colOff>591414</xdr:colOff>
      <xdr:row>40</xdr:row>
      <xdr:rowOff>124931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9925FA-D093-4C00-9584-A742DC395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296" y="219074"/>
          <a:ext cx="5872518" cy="7525857"/>
        </a:xfrm>
        <a:prstGeom prst="rect">
          <a:avLst/>
        </a:prstGeom>
      </xdr:spPr>
    </xdr:pic>
    <xdr:clientData/>
  </xdr:twoCellAnchor>
  <xdr:twoCellAnchor editAs="oneCell">
    <xdr:from>
      <xdr:col>10</xdr:col>
      <xdr:colOff>133350</xdr:colOff>
      <xdr:row>1</xdr:row>
      <xdr:rowOff>9525</xdr:rowOff>
    </xdr:from>
    <xdr:to>
      <xdr:col>20</xdr:col>
      <xdr:colOff>200885</xdr:colOff>
      <xdr:row>42</xdr:row>
      <xdr:rowOff>124931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8843DC-D9E4-4784-84DA-F62D5FD4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9350" y="200025"/>
          <a:ext cx="6163535" cy="79259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S6:W46" totalsRowShown="0" headerRowDxfId="6" dataDxfId="5">
  <autoFilter ref="S6:W46" xr:uid="{00000000-0009-0000-0100-000002000000}"/>
  <sortState xmlns:xlrd2="http://schemas.microsoft.com/office/spreadsheetml/2017/richdata2" ref="S4:W43">
    <sortCondition ref="U3:U43"/>
  </sortState>
  <tableColumns count="5">
    <tableColumn id="1" xr3:uid="{00000000-0010-0000-0000-000001000000}" name="AWG/MCM" dataDxfId="4"/>
    <tableColumn id="2" xr3:uid="{00000000-0010-0000-0000-000002000000}" name="Diameter (Inches)" dataDxfId="3"/>
    <tableColumn id="3" xr3:uid="{00000000-0010-0000-0000-000003000000}" name="Circular Mils" dataDxfId="2"/>
    <tableColumn id="4" xr3:uid="{00000000-0010-0000-0000-000004000000}" name="Area (mm2)" dataDxfId="1"/>
    <tableColumn id="5" xr3:uid="{00000000-0010-0000-0000-000005000000}" name="Diameter (mm)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A59"/>
  <sheetViews>
    <sheetView tabSelected="1" zoomScaleNormal="100" workbookViewId="0">
      <selection activeCell="D12" sqref="D12"/>
    </sheetView>
  </sheetViews>
  <sheetFormatPr defaultColWidth="9.140625" defaultRowHeight="15" x14ac:dyDescent="0.25"/>
  <cols>
    <col min="1" max="1" width="9.140625" style="15"/>
    <col min="2" max="2" width="17" style="15" customWidth="1"/>
    <col min="3" max="3" width="2.5703125" style="15" customWidth="1"/>
    <col min="4" max="4" width="18.140625" style="5" customWidth="1"/>
    <col min="5" max="5" width="2.140625" style="15" customWidth="1"/>
    <col min="6" max="10" width="9.140625" style="15"/>
    <col min="11" max="11" width="11" style="15" bestFit="1" customWidth="1"/>
    <col min="12" max="19" width="9.140625" style="15"/>
    <col min="20" max="20" width="15.7109375" style="15" customWidth="1"/>
    <col min="21" max="21" width="21.7109375" style="15" customWidth="1"/>
    <col min="22" max="22" width="18.42578125" style="15" customWidth="1"/>
    <col min="23" max="23" width="19.42578125" style="15" customWidth="1"/>
    <col min="24" max="24" width="22" style="15" customWidth="1"/>
    <col min="25" max="16384" width="9.140625" style="15"/>
  </cols>
  <sheetData>
    <row r="3" spans="1:25" ht="36" x14ac:dyDescent="0.55000000000000004">
      <c r="B3" s="17" t="s">
        <v>31</v>
      </c>
      <c r="C3" s="33"/>
      <c r="E3" s="18"/>
      <c r="F3" s="18"/>
      <c r="G3" s="18"/>
      <c r="H3" s="18"/>
      <c r="I3" s="18"/>
      <c r="J3" s="18"/>
      <c r="K3" s="18"/>
      <c r="L3" s="18"/>
      <c r="M3" s="18"/>
      <c r="N3" s="18"/>
      <c r="O3" s="16"/>
      <c r="P3" s="16"/>
      <c r="Q3" s="16"/>
      <c r="R3" s="16"/>
    </row>
    <row r="4" spans="1:25" ht="36" customHeight="1" x14ac:dyDescent="0.25">
      <c r="B4" s="24" t="s">
        <v>32</v>
      </c>
      <c r="C4" s="24"/>
      <c r="D4" s="29"/>
      <c r="E4" s="25"/>
      <c r="F4" s="25"/>
      <c r="G4" s="25"/>
      <c r="H4" s="25"/>
      <c r="I4" s="48" t="s">
        <v>33</v>
      </c>
      <c r="J4" s="48"/>
      <c r="K4" s="48"/>
      <c r="L4" s="48"/>
      <c r="M4" s="48"/>
      <c r="N4" s="48"/>
      <c r="O4" s="48"/>
      <c r="P4" s="48"/>
      <c r="Q4" s="48"/>
      <c r="R4" s="48"/>
    </row>
    <row r="5" spans="1:25" ht="30" customHeight="1" x14ac:dyDescent="0.25">
      <c r="B5" s="49" t="s">
        <v>37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T5" s="51" t="s">
        <v>43</v>
      </c>
      <c r="U5" s="51"/>
      <c r="V5" s="51"/>
      <c r="W5" s="51"/>
      <c r="X5" s="51"/>
    </row>
    <row r="6" spans="1:25" ht="23.2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T6" s="8"/>
      <c r="U6" s="8"/>
      <c r="V6" s="8"/>
      <c r="W6" s="8"/>
      <c r="X6" s="8"/>
      <c r="Y6" s="5"/>
    </row>
    <row r="7" spans="1:25" x14ac:dyDescent="0.25">
      <c r="T7" s="4"/>
      <c r="U7" s="4"/>
      <c r="V7" s="4"/>
      <c r="W7" s="4"/>
      <c r="X7" s="4"/>
      <c r="Y7" s="5"/>
    </row>
    <row r="8" spans="1:25" ht="25.5" customHeight="1" thickBot="1" x14ac:dyDescent="0.3">
      <c r="B8" s="52" t="s">
        <v>42</v>
      </c>
      <c r="C8" s="52"/>
      <c r="D8" s="52"/>
      <c r="E8" s="52"/>
      <c r="F8" s="52"/>
      <c r="G8" s="23"/>
      <c r="T8" s="4"/>
      <c r="U8" s="4"/>
      <c r="V8" s="4"/>
      <c r="W8" s="4"/>
      <c r="X8" s="4"/>
      <c r="Y8" s="5"/>
    </row>
    <row r="9" spans="1:25" ht="12" customHeight="1" x14ac:dyDescent="0.25">
      <c r="B9" s="34"/>
      <c r="C9" s="34"/>
      <c r="D9" s="34"/>
      <c r="E9" s="34"/>
      <c r="F9" s="34"/>
      <c r="G9" s="23"/>
      <c r="T9" s="4"/>
      <c r="U9" s="4"/>
      <c r="V9" s="4"/>
      <c r="W9" s="4"/>
      <c r="X9" s="4"/>
      <c r="Y9" s="5"/>
    </row>
    <row r="10" spans="1:25" x14ac:dyDescent="0.25">
      <c r="B10" s="35" t="s">
        <v>45</v>
      </c>
      <c r="C10" s="27"/>
      <c r="D10" s="36" t="s">
        <v>46</v>
      </c>
      <c r="E10" s="15" t="s">
        <v>0</v>
      </c>
      <c r="T10" s="4"/>
      <c r="U10" s="4"/>
      <c r="V10" s="4"/>
      <c r="W10" s="4"/>
      <c r="X10" s="4"/>
      <c r="Y10" s="5"/>
    </row>
    <row r="11" spans="1:25" ht="8.25" customHeight="1" x14ac:dyDescent="0.25">
      <c r="B11" s="32"/>
      <c r="C11" s="27"/>
      <c r="T11" s="4"/>
      <c r="U11" s="4"/>
      <c r="V11" s="4"/>
      <c r="W11" s="4"/>
      <c r="X11" s="4"/>
      <c r="Y11" s="5"/>
    </row>
    <row r="12" spans="1:25" x14ac:dyDescent="0.25">
      <c r="B12" s="47">
        <v>1</v>
      </c>
      <c r="D12" s="30">
        <v>1327</v>
      </c>
      <c r="F12" s="22" t="s">
        <v>38</v>
      </c>
      <c r="G12" s="38"/>
      <c r="H12" s="39"/>
      <c r="I12" s="40"/>
      <c r="J12" s="40"/>
      <c r="K12" s="40"/>
      <c r="L12" s="40"/>
      <c r="T12" s="4"/>
      <c r="U12" s="4"/>
      <c r="V12" s="4"/>
      <c r="W12" s="4"/>
      <c r="X12" s="4"/>
      <c r="Y12" s="5"/>
    </row>
    <row r="13" spans="1:25" ht="18.75" x14ac:dyDescent="0.3">
      <c r="B13" s="47"/>
      <c r="D13" s="30">
        <v>60</v>
      </c>
      <c r="F13" s="21" t="s">
        <v>39</v>
      </c>
      <c r="G13" s="39"/>
      <c r="H13" s="40"/>
      <c r="I13" s="41"/>
      <c r="J13" s="42" t="s">
        <v>40</v>
      </c>
      <c r="K13" s="45">
        <f>SQRT(((D12^2*D13)+(D15^2*D16)+(D18^2*D19)+(D21^2*D22)+(D24^2*D25)+(D27^2*D28)+(D30^2*D31)+(D33^2*D34)+(D36^2*D37)+(D39^2*D40)+(D42^2*D43)+(D45^2*D46)+(D48^2*D49))/(D13+D16+D19+D22+D25+D28+D31+D34+D37+D40+D43+D46+D49))</f>
        <v>593.45244122844417</v>
      </c>
      <c r="L13" s="43" t="s">
        <v>41</v>
      </c>
      <c r="T13" s="4"/>
      <c r="U13" s="4"/>
      <c r="V13" s="4"/>
      <c r="W13" s="4"/>
      <c r="X13" s="4"/>
      <c r="Y13" s="5"/>
    </row>
    <row r="14" spans="1:25" ht="18.75" x14ac:dyDescent="0.3">
      <c r="A14" s="28"/>
      <c r="B14" s="26" t="s">
        <v>0</v>
      </c>
      <c r="C14" s="26"/>
      <c r="E14" s="15" t="s">
        <v>0</v>
      </c>
      <c r="G14" s="40"/>
      <c r="H14" s="40"/>
      <c r="I14" s="41"/>
      <c r="J14" s="44" t="s">
        <v>44</v>
      </c>
      <c r="K14" s="46">
        <f>(IF(D12&gt;0,D13,0)+IF(D15&gt;0,D16,0)+IF(D18&gt;0,D19,0)+IF(D21&gt;0,D22,0)+IF(D24&gt;0,D25,0)+IF(D27&gt;0,D28,0)+IF(D30&gt;0,D31,0)+IF(D33&gt;0,D34,0)+IF(D36&gt;0,D37,0)+IF(D39&gt;0,D40,0)+IF(D42&gt;0,D43,0)+IF(D45&gt;0,D46,0)+IF(D48&gt;0,D49,0))/(D13+D16+D19+D22+D25+D28+D31+D34+D37+D40+D43+D46+D49)</f>
        <v>0.2</v>
      </c>
      <c r="L14" s="43"/>
      <c r="T14" s="4"/>
      <c r="U14" s="4"/>
      <c r="V14" s="6"/>
      <c r="W14" s="4"/>
      <c r="X14" s="4"/>
      <c r="Y14" s="5"/>
    </row>
    <row r="15" spans="1:25" x14ac:dyDescent="0.25">
      <c r="B15" s="47">
        <v>2</v>
      </c>
      <c r="D15" s="30">
        <v>1327</v>
      </c>
      <c r="F15" s="22" t="s">
        <v>38</v>
      </c>
      <c r="G15" s="22"/>
      <c r="H15" s="21"/>
      <c r="K15" s="15" t="s">
        <v>0</v>
      </c>
      <c r="T15" s="4"/>
      <c r="U15" s="4"/>
      <c r="V15" s="6"/>
      <c r="W15" s="4"/>
      <c r="X15" s="4"/>
      <c r="Y15" s="5"/>
    </row>
    <row r="16" spans="1:25" x14ac:dyDescent="0.25">
      <c r="B16" s="47"/>
      <c r="D16" s="30">
        <v>60</v>
      </c>
      <c r="F16" s="21" t="s">
        <v>39</v>
      </c>
      <c r="G16" s="21"/>
      <c r="H16" s="21"/>
      <c r="T16" s="4"/>
      <c r="U16" s="4"/>
      <c r="V16" s="6"/>
      <c r="W16" s="4"/>
      <c r="X16" s="4"/>
      <c r="Y16" s="5"/>
    </row>
    <row r="17" spans="1:27" x14ac:dyDescent="0.25">
      <c r="A17" s="28"/>
      <c r="D17" s="31"/>
      <c r="F17" s="21" t="s">
        <v>0</v>
      </c>
      <c r="G17" s="21"/>
      <c r="H17" s="21"/>
      <c r="I17" s="21"/>
      <c r="J17" s="21"/>
      <c r="K17" s="21"/>
      <c r="T17" s="4"/>
      <c r="U17" s="4"/>
      <c r="V17" s="6"/>
      <c r="W17" s="4"/>
      <c r="X17" s="4"/>
      <c r="Y17" s="5"/>
    </row>
    <row r="18" spans="1:27" x14ac:dyDescent="0.25">
      <c r="B18" s="47">
        <v>3</v>
      </c>
      <c r="D18" s="30">
        <v>1327</v>
      </c>
      <c r="F18" s="22" t="s">
        <v>38</v>
      </c>
      <c r="G18" s="22"/>
      <c r="H18" s="21"/>
      <c r="I18" s="21"/>
      <c r="J18" s="21"/>
      <c r="K18" s="21"/>
      <c r="T18" s="4"/>
      <c r="U18" s="4"/>
      <c r="V18" s="6"/>
      <c r="W18" s="4"/>
      <c r="X18" s="4"/>
      <c r="Y18" s="5"/>
    </row>
    <row r="19" spans="1:27" x14ac:dyDescent="0.25">
      <c r="B19" s="47"/>
      <c r="D19" s="30">
        <v>60</v>
      </c>
      <c r="F19" s="21" t="s">
        <v>39</v>
      </c>
      <c r="G19" s="21"/>
      <c r="H19" s="21"/>
      <c r="I19" s="21"/>
      <c r="J19" s="21"/>
      <c r="K19" s="21"/>
      <c r="T19" s="4"/>
      <c r="U19" s="4"/>
      <c r="V19" s="6"/>
      <c r="W19" s="4"/>
      <c r="X19" s="4"/>
      <c r="Y19" s="5"/>
    </row>
    <row r="20" spans="1:27" x14ac:dyDescent="0.25">
      <c r="A20" s="28"/>
      <c r="D20" s="31"/>
      <c r="F20" s="21"/>
      <c r="G20" s="21"/>
      <c r="H20" s="21"/>
      <c r="I20" s="21"/>
      <c r="J20" s="21"/>
      <c r="K20" s="21"/>
      <c r="T20" s="4"/>
      <c r="U20" s="4"/>
      <c r="V20" s="6"/>
      <c r="W20" s="4"/>
      <c r="X20" s="4"/>
      <c r="Y20" s="5"/>
    </row>
    <row r="21" spans="1:27" x14ac:dyDescent="0.25">
      <c r="B21" s="47">
        <v>4</v>
      </c>
      <c r="D21" s="30">
        <v>1327</v>
      </c>
      <c r="F21" s="22" t="s">
        <v>38</v>
      </c>
      <c r="G21" s="22"/>
      <c r="H21" s="21"/>
      <c r="I21" s="21"/>
      <c r="J21" s="21"/>
      <c r="K21" s="21"/>
      <c r="T21" s="4"/>
      <c r="U21" s="4"/>
      <c r="V21" s="6"/>
      <c r="W21" s="4"/>
      <c r="X21" s="4"/>
      <c r="Y21" s="5"/>
    </row>
    <row r="22" spans="1:27" x14ac:dyDescent="0.25">
      <c r="B22" s="47"/>
      <c r="D22" s="30">
        <v>60</v>
      </c>
      <c r="F22" s="21" t="s">
        <v>39</v>
      </c>
      <c r="G22" s="21"/>
      <c r="H22" s="21"/>
      <c r="I22" s="21"/>
      <c r="J22" s="21"/>
      <c r="K22" s="21"/>
      <c r="T22" s="4"/>
      <c r="U22" s="4"/>
      <c r="V22" s="6"/>
      <c r="W22" s="4"/>
      <c r="X22" s="4"/>
      <c r="AA22" s="2" t="s">
        <v>0</v>
      </c>
    </row>
    <row r="23" spans="1:27" x14ac:dyDescent="0.25">
      <c r="A23" s="28"/>
      <c r="D23" s="31"/>
      <c r="F23" s="21"/>
      <c r="G23" s="21"/>
      <c r="H23" s="21"/>
      <c r="I23" s="21"/>
      <c r="J23" s="21"/>
      <c r="T23" s="4"/>
      <c r="U23" s="4"/>
      <c r="V23" s="6"/>
      <c r="W23" s="4"/>
      <c r="X23" s="4"/>
      <c r="AA23" s="2"/>
    </row>
    <row r="24" spans="1:27" x14ac:dyDescent="0.25">
      <c r="B24" s="47">
        <v>5</v>
      </c>
      <c r="D24" s="30">
        <v>1327</v>
      </c>
      <c r="F24" s="22" t="s">
        <v>38</v>
      </c>
      <c r="G24" s="22"/>
      <c r="H24" s="21"/>
      <c r="I24" s="21"/>
      <c r="J24" s="21"/>
      <c r="T24" s="4"/>
      <c r="U24" s="4"/>
      <c r="V24" s="6"/>
      <c r="W24" s="4"/>
      <c r="X24" s="4"/>
      <c r="AA24" s="2"/>
    </row>
    <row r="25" spans="1:27" x14ac:dyDescent="0.25">
      <c r="B25" s="47"/>
      <c r="D25" s="30">
        <v>60</v>
      </c>
      <c r="F25" s="21" t="s">
        <v>39</v>
      </c>
      <c r="G25" s="21"/>
      <c r="H25" s="21"/>
      <c r="I25" s="21"/>
      <c r="J25" s="21"/>
      <c r="T25" s="4"/>
      <c r="U25" s="4"/>
      <c r="V25" s="6"/>
      <c r="W25" s="4"/>
      <c r="X25" s="4"/>
      <c r="AA25" s="2"/>
    </row>
    <row r="26" spans="1:27" x14ac:dyDescent="0.25">
      <c r="A26" s="28"/>
      <c r="B26" s="26"/>
      <c r="C26" s="26"/>
      <c r="D26" s="32"/>
      <c r="E26" s="21"/>
      <c r="F26" s="21"/>
      <c r="G26" s="21" t="s">
        <v>0</v>
      </c>
      <c r="H26" s="21"/>
      <c r="I26" s="21"/>
      <c r="J26" s="21"/>
      <c r="T26" s="4"/>
      <c r="U26" s="4"/>
      <c r="V26" s="6"/>
      <c r="W26" s="4"/>
      <c r="X26" s="4"/>
      <c r="AA26" s="2"/>
    </row>
    <row r="27" spans="1:27" x14ac:dyDescent="0.25">
      <c r="B27" s="47">
        <v>6</v>
      </c>
      <c r="D27" s="30">
        <v>1327</v>
      </c>
      <c r="F27" s="22" t="s">
        <v>38</v>
      </c>
      <c r="G27" s="22"/>
      <c r="H27" s="21"/>
      <c r="I27" s="21"/>
      <c r="J27" s="21"/>
      <c r="T27" s="4"/>
      <c r="U27" s="4"/>
      <c r="V27" s="6"/>
      <c r="W27" s="4"/>
      <c r="X27" s="4"/>
      <c r="AA27" s="2"/>
    </row>
    <row r="28" spans="1:27" x14ac:dyDescent="0.25">
      <c r="B28" s="47"/>
      <c r="D28" s="30">
        <v>60</v>
      </c>
      <c r="F28" s="21" t="s">
        <v>39</v>
      </c>
      <c r="G28" s="21"/>
      <c r="H28" s="21" t="s">
        <v>0</v>
      </c>
      <c r="I28" s="21"/>
      <c r="J28" s="21"/>
      <c r="T28" s="4"/>
      <c r="U28" s="4"/>
      <c r="V28" s="6"/>
      <c r="W28" s="4"/>
      <c r="X28" s="4"/>
      <c r="AA28" s="2"/>
    </row>
    <row r="29" spans="1:27" x14ac:dyDescent="0.25">
      <c r="A29" s="28"/>
      <c r="B29" s="22"/>
      <c r="C29" s="22"/>
      <c r="D29" s="22"/>
      <c r="E29" s="22"/>
      <c r="F29" s="22"/>
      <c r="G29" s="22"/>
      <c r="H29" s="21"/>
      <c r="I29" s="21"/>
      <c r="J29" s="21"/>
      <c r="T29" s="4"/>
      <c r="U29" s="4"/>
      <c r="V29" s="6"/>
      <c r="W29" s="4"/>
      <c r="X29" s="4"/>
      <c r="AA29" s="2"/>
    </row>
    <row r="30" spans="1:27" x14ac:dyDescent="0.25">
      <c r="B30" s="47">
        <v>7</v>
      </c>
      <c r="D30" s="30">
        <v>1327</v>
      </c>
      <c r="F30" s="22" t="s">
        <v>38</v>
      </c>
      <c r="G30" s="21"/>
      <c r="H30" s="21"/>
      <c r="I30" s="21"/>
      <c r="J30" s="21"/>
      <c r="T30" s="4"/>
      <c r="U30" s="4"/>
      <c r="V30" s="6"/>
      <c r="W30" s="4"/>
      <c r="X30" s="4"/>
      <c r="AA30" s="2"/>
    </row>
    <row r="31" spans="1:27" x14ac:dyDescent="0.25">
      <c r="B31" s="47"/>
      <c r="D31" s="30">
        <v>60</v>
      </c>
      <c r="F31" s="27" t="s">
        <v>39</v>
      </c>
      <c r="G31" s="21"/>
      <c r="H31" s="21"/>
      <c r="I31" s="21"/>
      <c r="J31" s="21"/>
      <c r="T31" s="4"/>
      <c r="U31" s="4"/>
      <c r="V31" s="6"/>
      <c r="W31" s="4"/>
      <c r="X31" s="4"/>
      <c r="AA31" s="2"/>
    </row>
    <row r="32" spans="1:27" x14ac:dyDescent="0.25">
      <c r="A32" s="28"/>
      <c r="B32" s="21"/>
      <c r="C32" s="27"/>
      <c r="D32" s="32"/>
      <c r="F32" s="21"/>
      <c r="G32" s="21"/>
      <c r="H32" s="21"/>
      <c r="I32" s="21"/>
      <c r="J32" s="21"/>
      <c r="T32" s="4"/>
      <c r="U32" s="4"/>
      <c r="V32" s="6"/>
      <c r="W32" s="4"/>
      <c r="X32" s="4"/>
      <c r="AA32" s="2"/>
    </row>
    <row r="33" spans="1:27" x14ac:dyDescent="0.25">
      <c r="B33" s="47">
        <v>8</v>
      </c>
      <c r="D33" s="30">
        <v>1327</v>
      </c>
      <c r="F33" s="22" t="s">
        <v>38</v>
      </c>
      <c r="G33" s="21"/>
      <c r="H33" s="21"/>
      <c r="I33" s="21"/>
      <c r="J33" s="21"/>
      <c r="T33" s="3"/>
      <c r="U33" s="4"/>
      <c r="V33" s="6"/>
      <c r="W33" s="4"/>
      <c r="X33" s="4"/>
      <c r="AA33" s="2"/>
    </row>
    <row r="34" spans="1:27" x14ac:dyDescent="0.25">
      <c r="B34" s="47"/>
      <c r="D34" s="30">
        <v>60</v>
      </c>
      <c r="F34" s="27" t="s">
        <v>39</v>
      </c>
      <c r="G34" s="21"/>
      <c r="H34" s="21"/>
      <c r="I34" s="21"/>
      <c r="J34" s="21"/>
      <c r="T34" s="3"/>
      <c r="U34" s="4"/>
      <c r="V34" s="6"/>
      <c r="W34" s="4"/>
      <c r="X34" s="4"/>
      <c r="AA34" s="2"/>
    </row>
    <row r="35" spans="1:27" x14ac:dyDescent="0.25">
      <c r="A35" s="28"/>
      <c r="T35" s="3"/>
      <c r="U35" s="4"/>
      <c r="V35" s="6"/>
      <c r="W35" s="4"/>
      <c r="X35" s="4"/>
      <c r="AA35" s="2"/>
    </row>
    <row r="36" spans="1:27" x14ac:dyDescent="0.25">
      <c r="B36" s="47">
        <v>9</v>
      </c>
      <c r="D36" s="30">
        <v>1327</v>
      </c>
      <c r="F36" s="22" t="s">
        <v>38</v>
      </c>
      <c r="T36" s="4"/>
      <c r="U36" s="4"/>
      <c r="V36" s="4"/>
      <c r="W36" s="9"/>
      <c r="X36" s="9"/>
      <c r="AA36" s="2"/>
    </row>
    <row r="37" spans="1:27" x14ac:dyDescent="0.25">
      <c r="B37" s="47"/>
      <c r="D37" s="30">
        <v>60</v>
      </c>
      <c r="F37" s="27" t="s">
        <v>39</v>
      </c>
      <c r="T37" s="4"/>
      <c r="U37" s="4"/>
      <c r="V37" s="4"/>
      <c r="W37" s="9"/>
      <c r="X37" s="9"/>
      <c r="AA37" s="2"/>
    </row>
    <row r="38" spans="1:27" x14ac:dyDescent="0.25">
      <c r="A38" s="28"/>
      <c r="T38" s="4"/>
      <c r="U38" s="4"/>
      <c r="V38" s="4"/>
      <c r="W38" s="9"/>
      <c r="X38" s="9"/>
      <c r="AA38" s="2"/>
    </row>
    <row r="39" spans="1:27" x14ac:dyDescent="0.25">
      <c r="B39" s="47">
        <v>10</v>
      </c>
      <c r="D39" s="30">
        <v>1327</v>
      </c>
      <c r="F39" s="22" t="s">
        <v>38</v>
      </c>
      <c r="T39" s="4"/>
      <c r="U39" s="4"/>
      <c r="V39" s="4"/>
      <c r="W39" s="9"/>
      <c r="X39" s="9"/>
      <c r="AA39" s="2"/>
    </row>
    <row r="40" spans="1:27" x14ac:dyDescent="0.25">
      <c r="B40" s="47"/>
      <c r="D40" s="30">
        <v>60</v>
      </c>
      <c r="F40" s="27" t="s">
        <v>39</v>
      </c>
      <c r="G40" s="21"/>
      <c r="H40" s="21"/>
      <c r="I40" s="21"/>
      <c r="J40" s="21"/>
      <c r="T40" s="4"/>
      <c r="U40" s="4"/>
      <c r="V40" s="4"/>
      <c r="W40" s="9"/>
      <c r="X40" s="9"/>
      <c r="AA40" s="2"/>
    </row>
    <row r="41" spans="1:27" x14ac:dyDescent="0.25">
      <c r="A41" s="28"/>
      <c r="B41" s="21"/>
      <c r="C41" s="27"/>
      <c r="E41" s="21"/>
      <c r="F41" s="21"/>
      <c r="G41" s="21"/>
      <c r="H41" s="21"/>
      <c r="I41" s="21"/>
      <c r="J41" s="21"/>
      <c r="T41" s="4"/>
      <c r="U41" s="4"/>
      <c r="V41" s="4"/>
      <c r="W41" s="9"/>
      <c r="X41" s="9"/>
      <c r="AA41" s="2"/>
    </row>
    <row r="42" spans="1:27" x14ac:dyDescent="0.25">
      <c r="B42" s="47">
        <v>11</v>
      </c>
      <c r="D42" s="30">
        <v>1327</v>
      </c>
      <c r="F42" s="22" t="s">
        <v>38</v>
      </c>
      <c r="G42" s="21"/>
      <c r="H42" s="21"/>
      <c r="I42" s="21"/>
      <c r="J42" s="21"/>
      <c r="T42" s="4"/>
      <c r="U42" s="4"/>
      <c r="V42" s="4"/>
      <c r="W42" s="9"/>
      <c r="X42" s="9"/>
      <c r="AA42" s="2"/>
    </row>
    <row r="43" spans="1:27" x14ac:dyDescent="0.25">
      <c r="B43" s="47"/>
      <c r="D43" s="30">
        <v>60</v>
      </c>
      <c r="F43" s="27" t="s">
        <v>39</v>
      </c>
      <c r="G43" s="21"/>
      <c r="H43" s="21"/>
      <c r="I43" s="21"/>
      <c r="J43" s="21"/>
      <c r="T43" s="4"/>
      <c r="U43" s="4"/>
      <c r="V43" s="4"/>
      <c r="W43" s="9"/>
      <c r="X43" s="9"/>
      <c r="AA43" s="2"/>
    </row>
    <row r="44" spans="1:27" x14ac:dyDescent="0.25">
      <c r="A44" s="28"/>
      <c r="B44" s="21"/>
      <c r="C44" s="27"/>
      <c r="D44" s="37"/>
      <c r="F44" s="21"/>
      <c r="G44" s="21"/>
      <c r="H44" s="21"/>
      <c r="I44" s="21"/>
      <c r="J44" s="21"/>
      <c r="T44" s="4"/>
      <c r="U44" s="4"/>
      <c r="V44" s="4"/>
      <c r="W44" s="9"/>
      <c r="X44" s="9"/>
      <c r="AA44" s="2"/>
    </row>
    <row r="45" spans="1:27" x14ac:dyDescent="0.25">
      <c r="B45" s="47">
        <v>12</v>
      </c>
      <c r="D45" s="30">
        <v>1327</v>
      </c>
      <c r="F45" s="22" t="s">
        <v>38</v>
      </c>
      <c r="G45" s="21"/>
      <c r="H45" s="21"/>
      <c r="I45" s="21"/>
      <c r="J45" s="21"/>
      <c r="T45" s="4"/>
      <c r="U45" s="4"/>
      <c r="V45" s="4"/>
      <c r="W45" s="9"/>
      <c r="X45" s="9"/>
      <c r="AA45" s="2"/>
    </row>
    <row r="46" spans="1:27" x14ac:dyDescent="0.25">
      <c r="B46" s="47"/>
      <c r="D46" s="30">
        <v>60</v>
      </c>
      <c r="F46" s="27" t="s">
        <v>39</v>
      </c>
      <c r="G46" s="21"/>
      <c r="H46" s="21"/>
      <c r="I46" s="21"/>
      <c r="J46" s="21"/>
      <c r="T46" s="4"/>
      <c r="U46" s="4"/>
      <c r="V46" s="4"/>
      <c r="W46" s="9"/>
      <c r="X46" s="9"/>
      <c r="AA46" s="2"/>
    </row>
    <row r="47" spans="1:27" x14ac:dyDescent="0.25">
      <c r="A47" s="28"/>
      <c r="B47" s="21"/>
      <c r="C47" s="27"/>
      <c r="D47" s="31"/>
      <c r="F47" s="21"/>
      <c r="G47" s="21"/>
      <c r="H47" s="21"/>
      <c r="I47" s="21"/>
      <c r="J47" s="21"/>
      <c r="T47" s="4"/>
      <c r="U47" s="4"/>
      <c r="V47" s="4"/>
      <c r="W47" s="9"/>
      <c r="X47" s="9"/>
      <c r="AA47" s="2"/>
    </row>
    <row r="48" spans="1:27" x14ac:dyDescent="0.25">
      <c r="B48" s="47">
        <v>13</v>
      </c>
      <c r="D48" s="30">
        <v>0</v>
      </c>
      <c r="F48" s="22" t="s">
        <v>38</v>
      </c>
      <c r="G48" s="21"/>
      <c r="H48" s="21"/>
      <c r="I48" s="21"/>
      <c r="J48" s="21"/>
      <c r="T48" s="4"/>
      <c r="U48" s="4"/>
      <c r="V48" s="4"/>
      <c r="W48" s="9"/>
      <c r="X48" s="9"/>
      <c r="AA48" s="2"/>
    </row>
    <row r="49" spans="2:24" x14ac:dyDescent="0.25">
      <c r="B49" s="47"/>
      <c r="D49" s="30">
        <f>3600-(60*12)</f>
        <v>2880</v>
      </c>
      <c r="F49" s="27" t="s">
        <v>39</v>
      </c>
      <c r="G49" s="21"/>
      <c r="H49" s="21"/>
      <c r="I49" s="21"/>
      <c r="J49" s="21"/>
    </row>
    <row r="52" spans="2:24" x14ac:dyDescent="0.25">
      <c r="T52" s="8"/>
      <c r="U52" s="8"/>
      <c r="V52" s="8"/>
      <c r="W52" s="8"/>
      <c r="X52" s="8"/>
    </row>
    <row r="54" spans="2:24" x14ac:dyDescent="0.25">
      <c r="T54" s="3"/>
      <c r="U54" s="4"/>
      <c r="V54" s="6"/>
      <c r="W54" s="4"/>
      <c r="X54" s="4"/>
    </row>
    <row r="55" spans="2:24" ht="18.75" x14ac:dyDescent="0.25">
      <c r="T55" s="51"/>
      <c r="U55" s="51"/>
      <c r="V55" s="51"/>
      <c r="W55" s="51"/>
      <c r="X55" s="51"/>
    </row>
    <row r="56" spans="2:24" x14ac:dyDescent="0.25">
      <c r="T56" s="3"/>
      <c r="U56" s="4"/>
      <c r="V56" s="6"/>
      <c r="W56" s="4"/>
      <c r="X56" s="4"/>
    </row>
    <row r="57" spans="2:24" x14ac:dyDescent="0.25">
      <c r="T57" s="4"/>
      <c r="U57" s="4"/>
      <c r="V57" s="6"/>
      <c r="W57" s="4"/>
      <c r="X57" s="4"/>
    </row>
    <row r="58" spans="2:24" x14ac:dyDescent="0.25">
      <c r="T58" s="4"/>
      <c r="U58" s="4"/>
      <c r="V58" s="6"/>
      <c r="W58" s="4"/>
      <c r="X58" s="4"/>
    </row>
    <row r="59" spans="2:24" x14ac:dyDescent="0.25">
      <c r="T59" s="4" t="s">
        <v>0</v>
      </c>
      <c r="U59" s="4" t="s">
        <v>0</v>
      </c>
      <c r="V59" s="6" t="s">
        <v>0</v>
      </c>
      <c r="W59" s="4" t="s">
        <v>0</v>
      </c>
      <c r="X59" s="4" t="s">
        <v>0</v>
      </c>
    </row>
  </sheetData>
  <mergeCells count="18">
    <mergeCell ref="T55:X55"/>
    <mergeCell ref="B45:B46"/>
    <mergeCell ref="B48:B49"/>
    <mergeCell ref="I4:R4"/>
    <mergeCell ref="B5:R6"/>
    <mergeCell ref="T5:X5"/>
    <mergeCell ref="B8:F8"/>
    <mergeCell ref="B12:B13"/>
    <mergeCell ref="B15:B16"/>
    <mergeCell ref="B18:B19"/>
    <mergeCell ref="B21:B22"/>
    <mergeCell ref="B24:B25"/>
    <mergeCell ref="B42:B43"/>
    <mergeCell ref="B27:B28"/>
    <mergeCell ref="B30:B31"/>
    <mergeCell ref="B33:B34"/>
    <mergeCell ref="B36:B37"/>
    <mergeCell ref="B39:B40"/>
  </mergeCells>
  <pageMargins left="0.7" right="0.7" top="0.75" bottom="0.75" header="0.3" footer="0.3"/>
  <pageSetup scale="60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Z57"/>
  <sheetViews>
    <sheetView workbookViewId="0">
      <selection activeCell="B11" sqref="B11"/>
    </sheetView>
  </sheetViews>
  <sheetFormatPr defaultRowHeight="15" x14ac:dyDescent="0.25"/>
  <cols>
    <col min="2" max="2" width="17" customWidth="1"/>
    <col min="3" max="3" width="1.7109375" customWidth="1"/>
    <col min="19" max="19" width="15.7109375" customWidth="1"/>
    <col min="20" max="20" width="21.7109375" customWidth="1"/>
    <col min="21" max="21" width="18.42578125" customWidth="1"/>
    <col min="22" max="22" width="19.42578125" customWidth="1"/>
    <col min="23" max="23" width="22" customWidth="1"/>
  </cols>
  <sheetData>
    <row r="1" spans="2:24" x14ac:dyDescent="0.25"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3" spans="2:24" ht="36" x14ac:dyDescent="0.55000000000000004">
      <c r="B3" s="17" t="s">
        <v>31</v>
      </c>
      <c r="D3" s="18"/>
      <c r="E3" s="18"/>
      <c r="F3" s="18"/>
      <c r="G3" s="18"/>
      <c r="H3" s="18"/>
      <c r="I3" s="18"/>
      <c r="J3" s="18"/>
      <c r="K3" s="18"/>
      <c r="L3" s="18"/>
      <c r="M3" s="18"/>
      <c r="N3" s="16"/>
      <c r="O3" s="16"/>
      <c r="P3" s="16"/>
      <c r="Q3" s="16"/>
    </row>
    <row r="4" spans="2:24" ht="26.25" x14ac:dyDescent="0.4">
      <c r="B4" s="20" t="s">
        <v>32</v>
      </c>
      <c r="D4" s="19"/>
      <c r="E4" s="19"/>
      <c r="F4" s="19"/>
      <c r="G4" s="19"/>
      <c r="H4" s="53" t="s">
        <v>33</v>
      </c>
      <c r="I4" s="53"/>
      <c r="J4" s="53"/>
      <c r="K4" s="53"/>
      <c r="L4" s="53"/>
      <c r="M4" s="53"/>
      <c r="N4" s="53"/>
      <c r="O4" s="53"/>
      <c r="P4" s="53"/>
      <c r="Q4" s="53"/>
    </row>
    <row r="5" spans="2:24" ht="30" customHeight="1" x14ac:dyDescent="0.25">
      <c r="B5" s="49" t="s">
        <v>4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S5" s="51" t="s">
        <v>13</v>
      </c>
      <c r="T5" s="51"/>
      <c r="U5" s="51"/>
      <c r="V5" s="51"/>
      <c r="W5" s="51"/>
    </row>
    <row r="6" spans="2:24" ht="23.25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S6" s="8" t="s">
        <v>24</v>
      </c>
      <c r="T6" s="8" t="s">
        <v>12</v>
      </c>
      <c r="U6" s="8" t="s">
        <v>10</v>
      </c>
      <c r="V6" s="8" t="s">
        <v>11</v>
      </c>
      <c r="W6" s="8" t="s">
        <v>5</v>
      </c>
      <c r="X6" s="5"/>
    </row>
    <row r="7" spans="2:24" x14ac:dyDescent="0.25">
      <c r="S7" s="4">
        <v>25</v>
      </c>
      <c r="T7" s="4">
        <f>17.9/(1000)</f>
        <v>1.7899999999999999E-2</v>
      </c>
      <c r="U7" s="4">
        <v>320.39999999999998</v>
      </c>
      <c r="V7" s="4">
        <v>0.16200000000000001</v>
      </c>
      <c r="W7" s="4">
        <v>0.45500000000000002</v>
      </c>
      <c r="X7" s="5"/>
    </row>
    <row r="8" spans="2:24" x14ac:dyDescent="0.25">
      <c r="B8" s="54" t="s">
        <v>29</v>
      </c>
      <c r="C8" s="54"/>
      <c r="D8" s="54"/>
      <c r="E8" s="54"/>
      <c r="F8" s="54"/>
      <c r="S8" s="4">
        <v>24</v>
      </c>
      <c r="T8" s="4">
        <f>20.1/(1000)</f>
        <v>2.01E-2</v>
      </c>
      <c r="U8" s="4">
        <v>404</v>
      </c>
      <c r="V8" s="4">
        <v>0.20499999999999999</v>
      </c>
      <c r="W8" s="4">
        <v>0.51100000000000001</v>
      </c>
      <c r="X8" s="5"/>
    </row>
    <row r="9" spans="2:24" x14ac:dyDescent="0.25">
      <c r="B9" s="12">
        <f>2*500000</f>
        <v>1000000</v>
      </c>
      <c r="D9" t="s">
        <v>1</v>
      </c>
      <c r="S9" s="4">
        <v>23</v>
      </c>
      <c r="T9" s="4">
        <f>22.6/(1000)</f>
        <v>2.2600000000000002E-2</v>
      </c>
      <c r="U9" s="4">
        <v>509.5</v>
      </c>
      <c r="V9" s="4">
        <v>0.25800000000000001</v>
      </c>
      <c r="W9" s="4">
        <v>0.57299999999999995</v>
      </c>
      <c r="X9" s="5"/>
    </row>
    <row r="10" spans="2:24" x14ac:dyDescent="0.25">
      <c r="B10" s="12">
        <v>1327</v>
      </c>
      <c r="D10" t="s">
        <v>34</v>
      </c>
      <c r="S10" s="4">
        <v>22</v>
      </c>
      <c r="T10" s="4">
        <f>25.3/(1000)</f>
        <v>2.53E-2</v>
      </c>
      <c r="U10" s="4">
        <v>642.4</v>
      </c>
      <c r="V10" s="4">
        <v>0.32600000000000001</v>
      </c>
      <c r="W10" s="4">
        <v>0.64400000000000002</v>
      </c>
      <c r="X10" s="5"/>
    </row>
    <row r="11" spans="2:24" x14ac:dyDescent="0.25">
      <c r="B11" s="12" t="s">
        <v>47</v>
      </c>
      <c r="D11" t="s">
        <v>25</v>
      </c>
      <c r="S11" s="4">
        <v>21</v>
      </c>
      <c r="T11" s="4">
        <f>28.5/(1000)</f>
        <v>2.8500000000000001E-2</v>
      </c>
      <c r="U11" s="4">
        <v>810.1</v>
      </c>
      <c r="V11" s="4">
        <v>0.41</v>
      </c>
      <c r="W11" s="4">
        <v>0.72299999999999998</v>
      </c>
      <c r="X11" s="5"/>
    </row>
    <row r="12" spans="2:24" x14ac:dyDescent="0.25">
      <c r="B12" s="12">
        <v>60</v>
      </c>
      <c r="D12" t="s">
        <v>26</v>
      </c>
      <c r="S12" s="4">
        <v>20</v>
      </c>
      <c r="T12" s="4">
        <f>32/(1000)</f>
        <v>3.2000000000000001E-2</v>
      </c>
      <c r="U12" s="6">
        <v>1022</v>
      </c>
      <c r="V12" s="4">
        <v>0.51800000000000002</v>
      </c>
      <c r="W12" s="4">
        <v>0.81200000000000006</v>
      </c>
      <c r="X12" s="5"/>
    </row>
    <row r="13" spans="2:24" x14ac:dyDescent="0.25">
      <c r="B13" s="10" t="e">
        <f>(0.0297*LOG((B12+234)/(B11+234)))*CONDUCTORAREA*CONDUCTORAREA/(SHORTCIRCUITAMPS*SHORTCIRCUITAMPS)</f>
        <v>#VALUE!</v>
      </c>
      <c r="D13" t="s">
        <v>35</v>
      </c>
      <c r="S13" s="4">
        <v>17</v>
      </c>
      <c r="T13" s="4">
        <f>45.3/(1000)</f>
        <v>4.53E-2</v>
      </c>
      <c r="U13" s="6">
        <v>2048</v>
      </c>
      <c r="V13" s="4">
        <v>1.04</v>
      </c>
      <c r="W13" s="4">
        <v>1.1499999999999999</v>
      </c>
      <c r="X13" s="5"/>
    </row>
    <row r="14" spans="2:24" x14ac:dyDescent="0.25">
      <c r="S14" s="4">
        <v>16</v>
      </c>
      <c r="T14" s="4">
        <f>50.8/(1000)</f>
        <v>5.0799999999999998E-2</v>
      </c>
      <c r="U14" s="6">
        <v>2583</v>
      </c>
      <c r="V14" s="4">
        <v>1.31</v>
      </c>
      <c r="W14" s="4">
        <v>1.29</v>
      </c>
      <c r="X14" s="5"/>
    </row>
    <row r="15" spans="2:24" x14ac:dyDescent="0.25">
      <c r="S15" s="4">
        <v>15</v>
      </c>
      <c r="T15" s="4">
        <f>57.1/(1000)</f>
        <v>5.7099999999999998E-2</v>
      </c>
      <c r="U15" s="6">
        <v>3257</v>
      </c>
      <c r="V15" s="4">
        <v>1.65</v>
      </c>
      <c r="W15" s="4">
        <v>1.45</v>
      </c>
      <c r="X15" s="5"/>
    </row>
    <row r="16" spans="2:24" x14ac:dyDescent="0.25">
      <c r="B16" s="54" t="s">
        <v>28</v>
      </c>
      <c r="C16" s="54"/>
      <c r="D16" s="54"/>
      <c r="E16" s="54"/>
      <c r="F16" s="54"/>
      <c r="S16" s="4">
        <v>14</v>
      </c>
      <c r="T16" s="4">
        <f>64.1/(1000)</f>
        <v>6.409999999999999E-2</v>
      </c>
      <c r="U16" s="6">
        <v>4107</v>
      </c>
      <c r="V16" s="4">
        <v>2.08</v>
      </c>
      <c r="W16" s="4">
        <v>1.63</v>
      </c>
      <c r="X16" s="5"/>
    </row>
    <row r="17" spans="2:26" x14ac:dyDescent="0.25">
      <c r="B17" s="11">
        <f>SQRT(((1/(0.0297*LOG((B20+234)/(B19+234))))*B18*B18)*B21)</f>
        <v>64879.072365249558</v>
      </c>
      <c r="D17" t="s">
        <v>1</v>
      </c>
      <c r="S17" s="4">
        <v>13</v>
      </c>
      <c r="T17" s="4">
        <f>72/(1000)</f>
        <v>7.1999999999999995E-2</v>
      </c>
      <c r="U17" s="6">
        <v>5178</v>
      </c>
      <c r="V17" s="4">
        <v>2.62</v>
      </c>
      <c r="W17" s="4">
        <v>1.83</v>
      </c>
      <c r="X17" s="5"/>
    </row>
    <row r="18" spans="2:26" x14ac:dyDescent="0.25">
      <c r="B18" s="12">
        <v>1327</v>
      </c>
      <c r="D18" t="s">
        <v>2</v>
      </c>
      <c r="S18" s="4">
        <v>12</v>
      </c>
      <c r="T18" s="4">
        <f>80.8/(1000)</f>
        <v>8.0799999999999997E-2</v>
      </c>
      <c r="U18" s="6">
        <v>6530</v>
      </c>
      <c r="V18" s="4">
        <v>3.31</v>
      </c>
      <c r="W18" s="4">
        <v>2.0499999999999998</v>
      </c>
      <c r="X18" s="5"/>
    </row>
    <row r="19" spans="2:26" x14ac:dyDescent="0.25">
      <c r="B19" s="12">
        <v>50</v>
      </c>
      <c r="D19" t="s">
        <v>25</v>
      </c>
      <c r="S19" s="4">
        <v>11</v>
      </c>
      <c r="T19" s="4">
        <f>90.7/(1000)</f>
        <v>9.0700000000000003E-2</v>
      </c>
      <c r="U19" s="6">
        <v>8234</v>
      </c>
      <c r="V19" s="4">
        <v>4.17</v>
      </c>
      <c r="W19" s="4">
        <v>2.31</v>
      </c>
      <c r="X19" s="5"/>
    </row>
    <row r="20" spans="2:26" x14ac:dyDescent="0.25">
      <c r="B20" s="12">
        <v>100</v>
      </c>
      <c r="D20" t="s">
        <v>26</v>
      </c>
      <c r="S20" s="4">
        <v>10</v>
      </c>
      <c r="T20" s="4">
        <f>102/(1000)</f>
        <v>0.10199999999999999</v>
      </c>
      <c r="U20" s="6">
        <v>10383</v>
      </c>
      <c r="V20" s="4">
        <v>5.26</v>
      </c>
      <c r="W20" s="4">
        <v>2.59</v>
      </c>
      <c r="Z20" s="2" t="s">
        <v>0</v>
      </c>
    </row>
    <row r="21" spans="2:26" x14ac:dyDescent="0.25">
      <c r="B21" s="13">
        <v>5</v>
      </c>
      <c r="D21" t="s">
        <v>36</v>
      </c>
      <c r="S21" s="4">
        <v>9</v>
      </c>
      <c r="T21" s="4">
        <f>114/(1000)</f>
        <v>0.114</v>
      </c>
      <c r="U21" s="6">
        <v>13092</v>
      </c>
      <c r="V21" s="4">
        <v>6.63</v>
      </c>
      <c r="W21" s="4">
        <v>2.91</v>
      </c>
      <c r="Z21" s="2"/>
    </row>
    <row r="22" spans="2:26" x14ac:dyDescent="0.25">
      <c r="S22" s="4">
        <v>8</v>
      </c>
      <c r="T22" s="4">
        <f>128/(1000)</f>
        <v>0.128</v>
      </c>
      <c r="U22" s="6">
        <v>16509</v>
      </c>
      <c r="V22" s="4">
        <v>8.3699999999999992</v>
      </c>
      <c r="W22" s="4">
        <v>3.26</v>
      </c>
      <c r="Z22" s="2"/>
    </row>
    <row r="23" spans="2:26" x14ac:dyDescent="0.25">
      <c r="S23" s="4">
        <v>7</v>
      </c>
      <c r="T23" s="4">
        <f>144/(1000)</f>
        <v>0.14399999999999999</v>
      </c>
      <c r="U23" s="6">
        <v>20818</v>
      </c>
      <c r="V23" s="4">
        <v>10.5</v>
      </c>
      <c r="W23" s="4">
        <v>3.67</v>
      </c>
      <c r="Z23" s="2"/>
    </row>
    <row r="24" spans="2:26" x14ac:dyDescent="0.25">
      <c r="S24" s="4">
        <v>6</v>
      </c>
      <c r="T24" s="4">
        <f>162/(1000)</f>
        <v>0.16200000000000001</v>
      </c>
      <c r="U24" s="6">
        <v>26251</v>
      </c>
      <c r="V24" s="4">
        <v>13.3</v>
      </c>
      <c r="W24" s="4">
        <v>4.12</v>
      </c>
      <c r="Z24" s="2"/>
    </row>
    <row r="25" spans="2:26" x14ac:dyDescent="0.25">
      <c r="S25" s="4">
        <v>5</v>
      </c>
      <c r="T25" s="4">
        <f>182/(1000)</f>
        <v>0.182</v>
      </c>
      <c r="U25" s="6">
        <v>33101</v>
      </c>
      <c r="V25" s="4">
        <v>16.8</v>
      </c>
      <c r="W25" s="4">
        <v>4.62</v>
      </c>
      <c r="Z25" s="2"/>
    </row>
    <row r="26" spans="2:26" x14ac:dyDescent="0.25">
      <c r="S26" s="4">
        <v>4</v>
      </c>
      <c r="T26" s="4">
        <f>204/(1000)</f>
        <v>0.20399999999999999</v>
      </c>
      <c r="U26" s="6">
        <v>41740</v>
      </c>
      <c r="V26" s="4">
        <v>21.2</v>
      </c>
      <c r="W26" s="4">
        <v>5.19</v>
      </c>
      <c r="Z26" s="2"/>
    </row>
    <row r="27" spans="2:26" x14ac:dyDescent="0.25">
      <c r="B27" s="54" t="s">
        <v>30</v>
      </c>
      <c r="C27" s="54"/>
      <c r="D27" s="54"/>
      <c r="E27" s="54"/>
      <c r="F27" s="54"/>
      <c r="S27" s="4">
        <v>3</v>
      </c>
      <c r="T27" s="4">
        <f>229/(1000)</f>
        <v>0.22900000000000001</v>
      </c>
      <c r="U27" s="6">
        <v>52633</v>
      </c>
      <c r="V27" s="4">
        <v>26.7</v>
      </c>
      <c r="W27" s="4">
        <v>5.83</v>
      </c>
      <c r="Z27" s="2"/>
    </row>
    <row r="28" spans="2:26" x14ac:dyDescent="0.25">
      <c r="B28" s="14">
        <v>500000</v>
      </c>
      <c r="D28" t="s">
        <v>1</v>
      </c>
      <c r="S28" s="4">
        <v>2</v>
      </c>
      <c r="T28" s="4">
        <f>258/(1000)</f>
        <v>0.25800000000000001</v>
      </c>
      <c r="U28" s="6">
        <v>66369</v>
      </c>
      <c r="V28" s="4">
        <v>33.6</v>
      </c>
      <c r="W28" s="4">
        <v>6.54</v>
      </c>
      <c r="Z28" s="2"/>
    </row>
    <row r="29" spans="2:26" x14ac:dyDescent="0.25">
      <c r="B29" s="12">
        <v>2042</v>
      </c>
      <c r="D29" t="s">
        <v>2</v>
      </c>
      <c r="S29" s="4">
        <v>1</v>
      </c>
      <c r="T29" s="4">
        <f>289/(1000)</f>
        <v>0.28899999999999998</v>
      </c>
      <c r="U29" s="6">
        <v>83690</v>
      </c>
      <c r="V29" s="4">
        <v>42.4</v>
      </c>
      <c r="W29" s="4">
        <v>7.35</v>
      </c>
      <c r="Z29" s="2"/>
    </row>
    <row r="30" spans="2:26" x14ac:dyDescent="0.25">
      <c r="B30" s="12">
        <v>60</v>
      </c>
      <c r="D30" t="s">
        <v>25</v>
      </c>
      <c r="S30" s="4">
        <v>0</v>
      </c>
      <c r="T30" s="4">
        <f>325/(1000)</f>
        <v>0.32500000000000001</v>
      </c>
      <c r="U30" s="6">
        <v>105531</v>
      </c>
      <c r="V30" s="4">
        <v>53.5</v>
      </c>
      <c r="W30" s="4">
        <v>8.25</v>
      </c>
      <c r="Z30" s="2"/>
    </row>
    <row r="31" spans="2:26" x14ac:dyDescent="0.25">
      <c r="B31" s="12">
        <v>90</v>
      </c>
      <c r="D31" t="s">
        <v>26</v>
      </c>
      <c r="S31" s="3" t="s">
        <v>9</v>
      </c>
      <c r="T31" s="4">
        <f>365/(1000)</f>
        <v>0.36499999999999999</v>
      </c>
      <c r="U31" s="6">
        <v>133072</v>
      </c>
      <c r="V31" s="4">
        <v>67.400000000000006</v>
      </c>
      <c r="W31" s="4">
        <v>9.27</v>
      </c>
      <c r="Z31" s="2"/>
    </row>
    <row r="32" spans="2:26" x14ac:dyDescent="0.25">
      <c r="B32" s="10">
        <f>(0.0125*LOG((B31+228)/(B30+228)))*B28*B28/(B29*B29)</f>
        <v>32.251999322684881</v>
      </c>
      <c r="D32" t="s">
        <v>27</v>
      </c>
      <c r="S32" s="3" t="s">
        <v>8</v>
      </c>
      <c r="T32" s="4">
        <f>410/(1000)</f>
        <v>0.41</v>
      </c>
      <c r="U32" s="6">
        <v>167800</v>
      </c>
      <c r="V32" s="4">
        <v>85</v>
      </c>
      <c r="W32" s="4">
        <v>10.4</v>
      </c>
      <c r="Z32" s="2"/>
    </row>
    <row r="33" spans="2:26" x14ac:dyDescent="0.25">
      <c r="S33" s="3" t="s">
        <v>7</v>
      </c>
      <c r="T33" s="4">
        <f>460/(1000)</f>
        <v>0.46</v>
      </c>
      <c r="U33" s="6">
        <v>211592</v>
      </c>
      <c r="V33" s="4">
        <v>107</v>
      </c>
      <c r="W33" s="4">
        <v>11.7</v>
      </c>
      <c r="Z33" s="2"/>
    </row>
    <row r="34" spans="2:26" x14ac:dyDescent="0.25">
      <c r="S34" s="4">
        <v>250</v>
      </c>
      <c r="T34" s="4">
        <v>0.5</v>
      </c>
      <c r="U34" s="4">
        <v>250000</v>
      </c>
      <c r="V34" s="9">
        <v>126.67716599999999</v>
      </c>
      <c r="W34" s="9">
        <v>12.7</v>
      </c>
      <c r="Z34" s="2"/>
    </row>
    <row r="35" spans="2:26" x14ac:dyDescent="0.25">
      <c r="S35" s="4">
        <v>300</v>
      </c>
      <c r="T35" s="4">
        <v>0.54800000000000004</v>
      </c>
      <c r="U35" s="4">
        <v>300000</v>
      </c>
      <c r="V35" s="9">
        <v>152.166638633856</v>
      </c>
      <c r="W35" s="9">
        <v>13.9192</v>
      </c>
      <c r="Z35" s="2"/>
    </row>
    <row r="36" spans="2:26" x14ac:dyDescent="0.25">
      <c r="S36" s="4">
        <v>350</v>
      </c>
      <c r="T36" s="4">
        <v>0.59199999999999997</v>
      </c>
      <c r="U36" s="4">
        <v>350000</v>
      </c>
      <c r="V36" s="9">
        <v>177.58314522009596</v>
      </c>
      <c r="W36" s="9">
        <v>15.036799999999998</v>
      </c>
      <c r="Z36" s="2"/>
    </row>
    <row r="37" spans="2:26" x14ac:dyDescent="0.25">
      <c r="S37" s="4">
        <v>400</v>
      </c>
      <c r="T37" s="4">
        <v>0.63200000000000001</v>
      </c>
      <c r="U37" s="4">
        <v>400000</v>
      </c>
      <c r="V37" s="9">
        <v>202.39160140953592</v>
      </c>
      <c r="W37" s="9">
        <v>16.052799999999998</v>
      </c>
      <c r="Z37" s="2"/>
    </row>
    <row r="38" spans="2:26" x14ac:dyDescent="0.25">
      <c r="S38" s="4">
        <v>450</v>
      </c>
      <c r="T38" s="4">
        <v>0.67100000000000004</v>
      </c>
      <c r="U38" s="4">
        <v>450000</v>
      </c>
      <c r="V38" s="9">
        <v>228.14101558802395</v>
      </c>
      <c r="W38" s="9">
        <v>17.043399999999998</v>
      </c>
      <c r="Z38" s="2"/>
    </row>
    <row r="39" spans="2:26" x14ac:dyDescent="0.25">
      <c r="S39" s="4">
        <v>500</v>
      </c>
      <c r="T39" s="4">
        <v>0.70699999999999996</v>
      </c>
      <c r="U39" s="4">
        <v>500000</v>
      </c>
      <c r="V39" s="9">
        <v>253.27781899173598</v>
      </c>
      <c r="W39" s="9">
        <v>17.957799999999999</v>
      </c>
      <c r="Z39" s="2"/>
    </row>
    <row r="40" spans="2:26" x14ac:dyDescent="0.25">
      <c r="S40" s="4">
        <v>600</v>
      </c>
      <c r="T40" s="4">
        <v>0.77500000000000002</v>
      </c>
      <c r="U40" s="4">
        <v>600000</v>
      </c>
      <c r="V40" s="9">
        <v>304.34189131499994</v>
      </c>
      <c r="W40" s="9">
        <v>19.684999999999999</v>
      </c>
      <c r="Z40" s="2"/>
    </row>
    <row r="41" spans="2:26" x14ac:dyDescent="0.25">
      <c r="S41" s="4">
        <v>700</v>
      </c>
      <c r="T41" s="4">
        <v>0.83699999999999997</v>
      </c>
      <c r="U41" s="4">
        <v>700000</v>
      </c>
      <c r="V41" s="9">
        <v>354.98438202981595</v>
      </c>
      <c r="W41" s="9">
        <v>21.259799999999998</v>
      </c>
      <c r="Z41" s="2"/>
    </row>
    <row r="42" spans="2:26" x14ac:dyDescent="0.25">
      <c r="B42" s="1">
        <f>(0.0125*LOG((B31+234)/(B30+234)))*CONDUCTORAREA*CONDUCTORAREA/(SHORTCIRCUITAMPS*SHORTCIRCUITAMPS)</f>
        <v>299.54132019558148</v>
      </c>
      <c r="D42" t="s">
        <v>3</v>
      </c>
      <c r="S42" s="4">
        <v>750</v>
      </c>
      <c r="T42" s="4">
        <v>0.86599999999999999</v>
      </c>
      <c r="U42" s="4">
        <v>750000</v>
      </c>
      <c r="V42" s="9">
        <v>380.00920281878393</v>
      </c>
      <c r="W42" s="9">
        <v>21.996399999999998</v>
      </c>
      <c r="Z42" s="2"/>
    </row>
    <row r="43" spans="2:26" x14ac:dyDescent="0.25">
      <c r="S43" s="4">
        <v>800</v>
      </c>
      <c r="T43" s="4">
        <v>0.89400000000000002</v>
      </c>
      <c r="U43" s="4">
        <v>800000</v>
      </c>
      <c r="V43" s="9">
        <v>404.979805780704</v>
      </c>
      <c r="W43" s="9">
        <v>22.707599999999999</v>
      </c>
      <c r="Z43" s="2"/>
    </row>
    <row r="44" spans="2:26" x14ac:dyDescent="0.25">
      <c r="S44" s="4">
        <v>900</v>
      </c>
      <c r="T44" s="4">
        <v>0.94899999999999995</v>
      </c>
      <c r="U44" s="4">
        <v>900000</v>
      </c>
      <c r="V44" s="9">
        <v>456.34232950706394</v>
      </c>
      <c r="W44" s="9">
        <v>24.104599999999998</v>
      </c>
      <c r="Z44" s="2"/>
    </row>
    <row r="45" spans="2:26" x14ac:dyDescent="0.25">
      <c r="S45" s="4">
        <v>1000</v>
      </c>
      <c r="T45" s="4">
        <v>1</v>
      </c>
      <c r="U45" s="4">
        <v>1000000</v>
      </c>
      <c r="V45" s="9">
        <v>506.70866399999994</v>
      </c>
      <c r="W45" s="9">
        <v>25.4</v>
      </c>
      <c r="Z45" s="2"/>
    </row>
    <row r="46" spans="2:26" x14ac:dyDescent="0.25">
      <c r="S46" s="4">
        <v>1250</v>
      </c>
      <c r="T46" s="4">
        <v>1.1180000000000001</v>
      </c>
      <c r="U46" s="4">
        <v>1250000</v>
      </c>
      <c r="V46" s="9">
        <v>633.3473201415361</v>
      </c>
      <c r="W46" s="9">
        <v>28.397200000000002</v>
      </c>
      <c r="Z46" s="2"/>
    </row>
    <row r="49" spans="19:24" ht="18.75" x14ac:dyDescent="0.25">
      <c r="S49" s="51" t="s">
        <v>14</v>
      </c>
      <c r="T49" s="51"/>
      <c r="U49" s="51"/>
      <c r="V49" s="51"/>
      <c r="W49" s="51"/>
    </row>
    <row r="50" spans="19:24" x14ac:dyDescent="0.25">
      <c r="S50" s="8" t="s">
        <v>6</v>
      </c>
      <c r="T50" s="8" t="s">
        <v>20</v>
      </c>
      <c r="U50" s="8" t="s">
        <v>10</v>
      </c>
      <c r="V50" s="8" t="s">
        <v>22</v>
      </c>
      <c r="W50" s="8" t="s">
        <v>21</v>
      </c>
    </row>
    <row r="51" spans="19:24" x14ac:dyDescent="0.25">
      <c r="S51" s="7"/>
      <c r="T51" s="7"/>
      <c r="U51" s="7"/>
      <c r="V51" s="7"/>
      <c r="W51" s="7"/>
    </row>
    <row r="52" spans="19:24" x14ac:dyDescent="0.25">
      <c r="S52" s="3" t="s">
        <v>15</v>
      </c>
      <c r="T52" s="4">
        <v>1</v>
      </c>
      <c r="U52" s="6">
        <v>196350</v>
      </c>
      <c r="V52" s="4">
        <v>0.25</v>
      </c>
      <c r="W52" s="4">
        <v>0.25</v>
      </c>
      <c r="X52" t="s">
        <v>23</v>
      </c>
    </row>
    <row r="53" spans="19:24" x14ac:dyDescent="0.25">
      <c r="S53" s="3" t="s">
        <v>16</v>
      </c>
      <c r="T53" s="4">
        <v>2</v>
      </c>
      <c r="U53" s="6">
        <v>785400</v>
      </c>
      <c r="V53" s="4">
        <v>0.5</v>
      </c>
      <c r="W53" s="4">
        <v>0.25</v>
      </c>
    </row>
    <row r="54" spans="19:24" x14ac:dyDescent="0.25">
      <c r="S54" s="3" t="s">
        <v>18</v>
      </c>
      <c r="T54" s="4">
        <v>3</v>
      </c>
      <c r="U54" s="6">
        <v>1767149.9999999998</v>
      </c>
      <c r="V54" s="4">
        <v>0.75</v>
      </c>
      <c r="W54" s="4">
        <v>0.25</v>
      </c>
    </row>
    <row r="55" spans="19:24" x14ac:dyDescent="0.25">
      <c r="S55" s="4" t="s">
        <v>17</v>
      </c>
      <c r="T55" s="4">
        <v>2</v>
      </c>
      <c r="U55" s="6">
        <v>1570800</v>
      </c>
      <c r="V55" s="4">
        <v>1</v>
      </c>
      <c r="W55" s="4">
        <v>0.5</v>
      </c>
    </row>
    <row r="56" spans="19:24" x14ac:dyDescent="0.25">
      <c r="S56" s="4" t="s">
        <v>19</v>
      </c>
      <c r="T56" s="4">
        <v>3</v>
      </c>
      <c r="U56" s="6">
        <v>3534299.9999999995</v>
      </c>
      <c r="V56" s="4">
        <v>1.5</v>
      </c>
      <c r="W56" s="4">
        <v>0.5</v>
      </c>
    </row>
    <row r="57" spans="19:24" x14ac:dyDescent="0.25">
      <c r="S57" s="4" t="s">
        <v>0</v>
      </c>
      <c r="T57" s="4" t="s">
        <v>0</v>
      </c>
      <c r="U57" s="6" t="s">
        <v>0</v>
      </c>
      <c r="V57" s="4" t="s">
        <v>0</v>
      </c>
      <c r="W57" s="4" t="s">
        <v>0</v>
      </c>
    </row>
  </sheetData>
  <sheetProtection password="DB25" sheet="1" objects="1" scenarios="1" selectLockedCells="1"/>
  <mergeCells count="7">
    <mergeCell ref="H4:Q4"/>
    <mergeCell ref="S49:W49"/>
    <mergeCell ref="B8:F8"/>
    <mergeCell ref="B27:F27"/>
    <mergeCell ref="S5:W5"/>
    <mergeCell ref="B5:Q6"/>
    <mergeCell ref="B16:F16"/>
  </mergeCells>
  <pageMargins left="0.7" right="0.7" top="0.75" bottom="0.75" header="0.3" footer="0.3"/>
  <pageSetup scale="61" fitToHeight="2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>
      <selection activeCell="H40" sqref="H40"/>
    </sheetView>
  </sheetViews>
  <sheetFormatPr defaultRowHeight="15" x14ac:dyDescent="0.25"/>
  <sheetData/>
  <sheetProtection password="DB25" sheet="1" objects="1" scenarios="1"/>
  <pageMargins left="0.7" right="0.7" top="0.75" bottom="0.75" header="0.3" footer="0.3"/>
  <pageSetup fitToWidth="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"/>
  <sheetViews>
    <sheetView workbookViewId="0">
      <selection activeCell="S35" sqref="S35"/>
    </sheetView>
  </sheetViews>
  <sheetFormatPr defaultRowHeight="15" x14ac:dyDescent="0.25"/>
  <sheetData/>
  <sheetProtection password="DB25" sheet="1" objects="1" scenarios="1"/>
  <pageMargins left="0.7" right="0.7" top="0.75" bottom="0.75" header="0.3" footer="0.3"/>
  <pageSetup scale="5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"/>
  <sheetViews>
    <sheetView workbookViewId="0">
      <selection activeCell="R36" sqref="R36"/>
    </sheetView>
  </sheetViews>
  <sheetFormatPr defaultRowHeight="15" x14ac:dyDescent="0.25"/>
  <sheetData/>
  <sheetProtection password="DB25" sheet="1" objects="1" scenarios="1" selectLockedCells="1"/>
  <pageMargins left="0.7" right="0.7" top="0.75" bottom="0.75" header="0.3" footer="0.3"/>
  <pageSetup scale="4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40393-A11E-4412-AC87-98DE4600A7F8}">
  <dimension ref="A1"/>
  <sheetViews>
    <sheetView topLeftCell="A4" workbookViewId="0">
      <selection activeCell="M47" sqref="M4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Intermittent Loading of Cables</vt:lpstr>
      <vt:lpstr>Short Time Current Rating</vt:lpstr>
      <vt:lpstr>Background Information</vt:lpstr>
      <vt:lpstr>Impedance Tables</vt:lpstr>
      <vt:lpstr>NEC Tables for MV Cable</vt:lpstr>
      <vt:lpstr>Cable Damage Curves</vt:lpstr>
      <vt:lpstr>CONDUCTORAREA</vt:lpstr>
      <vt:lpstr>'Background Information'!Print_Area</vt:lpstr>
      <vt:lpstr>'Intermittent Loading of Cables'!Print_Area</vt:lpstr>
      <vt:lpstr>'Short Time Current Rating'!Print_Area</vt:lpstr>
      <vt:lpstr>SHORTCIRCUITAMPS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Steciuk</dc:creator>
  <cp:lastModifiedBy>Paul</cp:lastModifiedBy>
  <cp:lastPrinted>2014-02-21T18:02:22Z</cp:lastPrinted>
  <dcterms:created xsi:type="dcterms:W3CDTF">2013-03-21T12:36:19Z</dcterms:created>
  <dcterms:modified xsi:type="dcterms:W3CDTF">2021-04-08T13:48:36Z</dcterms:modified>
</cp:coreProperties>
</file>