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S:\Website New\resource\"/>
    </mc:Choice>
  </mc:AlternateContent>
  <xr:revisionPtr revIDLastSave="0" documentId="8_{3E94F628-7FEE-463E-AD83-C809F3AB2E98}" xr6:coauthVersionLast="41" xr6:coauthVersionMax="41" xr10:uidLastSave="{00000000-0000-0000-0000-000000000000}"/>
  <bookViews>
    <workbookView xWindow="-28920" yWindow="-120" windowWidth="29040" windowHeight="15840" xr2:uid="{00000000-000D-0000-FFFF-FFFF00000000}"/>
  </bookViews>
  <sheets>
    <sheet name="actiVAR Motor Start Calculation" sheetId="1" r:id="rId1"/>
    <sheet name="Voltage Resolution " sheetId="5" r:id="rId2"/>
    <sheet name="Sheet1" sheetId="6" r:id="rId3"/>
    <sheet name="_SSC" sheetId="4" state="veryHidden" r:id="rId4"/>
  </sheets>
  <definedNames>
    <definedName name="_Ctrl_1" hidden="1">'actiVAR Motor Start Calculation'!#REF!</definedName>
    <definedName name="_inputcolorcell" hidden="1">'actiVAR Motor Start Calculation'!$D$11</definedName>
    <definedName name="_xlnm.Print_Area" localSheetId="0">'actiVAR Motor Start Calculation'!$A$1:$I$54</definedName>
    <definedName name="_xlnm.Print_Area" localSheetId="1">'Voltage Resolution '!$B$1:$L$36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7" i="6" l="1"/>
  <c r="C44" i="1" l="1"/>
  <c r="C45" i="1" s="1"/>
  <c r="F11" i="5"/>
  <c r="H21" i="5" s="1"/>
  <c r="F10" i="5"/>
  <c r="J21" i="5" l="1"/>
  <c r="H20" i="5"/>
  <c r="H22" i="5"/>
  <c r="H19" i="5"/>
  <c r="H18" i="5"/>
  <c r="H17" i="5"/>
  <c r="H16" i="5"/>
  <c r="H15" i="5"/>
  <c r="J16" i="5" l="1"/>
  <c r="J22" i="5"/>
  <c r="J17" i="5"/>
  <c r="J20" i="5"/>
  <c r="J18" i="5"/>
  <c r="J15" i="5"/>
  <c r="J19" i="5"/>
  <c r="D23" i="1"/>
  <c r="F26" i="1" l="1"/>
  <c r="F13" i="1"/>
  <c r="F23" i="1"/>
  <c r="E23" i="1"/>
  <c r="E17" i="1"/>
  <c r="H26" i="1" l="1"/>
  <c r="B35" i="1" s="1"/>
  <c r="G26" i="1"/>
  <c r="E13" i="1"/>
  <c r="F17" i="1"/>
  <c r="D30" i="1" l="1"/>
  <c r="E34" i="1" s="1"/>
  <c r="C34" i="1" s="1"/>
  <c r="F31" i="1"/>
  <c r="E31" i="1" s="1"/>
  <c r="C33" i="1"/>
  <c r="F12" i="5"/>
  <c r="D31" i="1"/>
  <c r="F30" i="1"/>
  <c r="E30" i="1" s="1"/>
  <c r="L21" i="5" l="1"/>
  <c r="L22" i="5"/>
  <c r="L15" i="5"/>
  <c r="L19" i="5"/>
  <c r="L20" i="5"/>
  <c r="L17" i="5"/>
  <c r="L18" i="5"/>
  <c r="L16" i="5"/>
  <c r="E33" i="1"/>
  <c r="B47" i="1" s="1"/>
  <c r="C31" i="1"/>
  <c r="G31" i="1"/>
  <c r="C30" i="1"/>
  <c r="G30" i="1"/>
  <c r="H31" i="1" l="1"/>
</calcChain>
</file>

<file path=xl/sharedStrings.xml><?xml version="1.0" encoding="utf-8"?>
<sst xmlns="http://schemas.openxmlformats.org/spreadsheetml/2006/main" count="122" uniqueCount="75">
  <si>
    <t>MVA RATING:</t>
  </si>
  <si>
    <t>X/R RATIO:</t>
  </si>
  <si>
    <t>Rpu</t>
  </si>
  <si>
    <t>Xpu</t>
  </si>
  <si>
    <t>MOTOR KVA BASE RATING:</t>
  </si>
  <si>
    <t>CAP/MOT EQIV.</t>
  </si>
  <si>
    <t>actiVAR TORQUE ADVANTAGE (%)</t>
  </si>
  <si>
    <t>CALCULATED</t>
  </si>
  <si>
    <t>--------MOTOR DATA--------</t>
  </si>
  <si>
    <t>--------SOURCE DATA--------</t>
  </si>
  <si>
    <t>{"Captcha":{"Heading":"Enter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required.","OkButton":"OK","DDLDefaultRequiredText":"Please Select"},"WizardButton":{"Next":"Next","Previous":"Previous","Cancel":"Cancel","Finish":"Finish"},"ToolbarButton":{"Submit":"Submit","Print":"Print","PrintAll":"Print All","Reset":"Reset","Update":"Update","Back":"Back"},"BrowserAndLocation":{"Browsers":[{"Name":"iexplore.exe"},{"Name":"chrome.exe"}],"ConversionPath":"S:\\Peter Steciuk\\CALCULATORS"},"AdvancedSettingsModels":[],"Dropbox":{"AccessToken":"","AccessSecret":""},"SpreadsheetServer":{"Username":"","Password":"","ServerUrl":""},"ConfigureSubmitDefault":{"Email":"peter.steciuk@nepsi.com"}}</t>
  </si>
  <si>
    <t>_Ctrl_1</t>
  </si>
  <si>
    <t>{"WidgetClassification":0,"State":1,"SliderFlavor":1,"MinValue":0,"MaxValue":100,"TickInterval":0,"ShowTextbox":false,"ShowValueInTooltip":true,"IsRangeSlider":false,"CellName":"_Ctrl_1","CellAddress":"='Sheet1'!$J$7","WidgetName":6,"HiddenRow":1,"SheetCodeName":null,"ControlId":null}</t>
  </si>
  <si>
    <t>{"ButtonStyle":0,"Name":"","HideSscPoweredlogo":false,"CopyProtect":{"IsEnabled":false,"DomainName":""},"Theme":{"BgColor":"#FFFFFFFF","BgImage":"","InputBorderStyle":2},"Layout":0,"SmartphoneSettings":{"ViewportLock":true,"UseOldViewEngine":false,"EnableZoom":false,"EnableSwipe":false,"HideToolbar":false,"InheritBackgroundColor":false,"CheckboxFlavor":1},"SmartphoneTheme":0,"InputDetection":1,"Toolbar":{"Position":1,"IsSubmit":false,"IsPrint":true,"IsPrintAll":false,"IsReset":true,"IsUpdate":false},"AspnetConfig":{"BrowseUrl":"http://localhost/ssc","FileExtension":0},"ConfigureSubmit":{"IsShowCaptcha":false,"IsUseSscWebServer":true,"ReceiverCode":"peter.steciuk@nepsi.com","IsFreeService":false,"IsAdvanceService":true,"IsDemonstrationService":false,"AfterSuccessfulSubmit":"","AfterFailSubmit":"","AfterCancelWizard":"","IsUseOwnWebServer":false,"OwnWebServerURL":"","OwnWebServerTarget":"","SubmitTarget":0},"Flavor":0,"Edition":3,"IgnoreBgInputCell":false}</t>
  </si>
  <si>
    <r>
      <t>V</t>
    </r>
    <r>
      <rPr>
        <b/>
        <vertAlign val="subscript"/>
        <sz val="11"/>
        <color theme="1"/>
        <rFont val="Calibri"/>
        <family val="2"/>
        <scheme val="minor"/>
      </rPr>
      <t>PRIMARY</t>
    </r>
  </si>
  <si>
    <r>
      <t>V</t>
    </r>
    <r>
      <rPr>
        <b/>
        <vertAlign val="subscript"/>
        <sz val="11"/>
        <color theme="1"/>
        <rFont val="Calibri"/>
        <family val="2"/>
        <scheme val="minor"/>
      </rPr>
      <t>MOTOR</t>
    </r>
  </si>
  <si>
    <t>TORQUE LOSS FROM VOLTAGE SAG (%)</t>
  </si>
  <si>
    <t>VOLTAGE SAG (%)</t>
  </si>
  <si>
    <t>VOLTAGE DROP (%)</t>
  </si>
  <si>
    <r>
      <t>actiVAR</t>
    </r>
    <r>
      <rPr>
        <b/>
        <sz val="14"/>
        <color theme="1"/>
        <rFont val="Calibri"/>
        <family val="2"/>
      </rPr>
      <t>™</t>
    </r>
    <r>
      <rPr>
        <b/>
        <sz val="14"/>
        <color theme="1"/>
        <rFont val="Calibri"/>
        <family val="2"/>
        <scheme val="minor"/>
      </rPr>
      <t xml:space="preserve"> PERFORMANCE</t>
    </r>
  </si>
  <si>
    <r>
      <t>WITHOUT actiVAR</t>
    </r>
    <r>
      <rPr>
        <b/>
        <sz val="11"/>
        <color theme="1"/>
        <rFont val="Calibri"/>
        <family val="2"/>
      </rPr>
      <t>™</t>
    </r>
  </si>
  <si>
    <r>
      <t>WITH actiVAR</t>
    </r>
    <r>
      <rPr>
        <b/>
        <sz val="11"/>
        <color theme="1"/>
        <rFont val="Calibri"/>
        <family val="2"/>
      </rPr>
      <t>™</t>
    </r>
  </si>
  <si>
    <r>
      <t>--------actiVAR</t>
    </r>
    <r>
      <rPr>
        <b/>
        <sz val="14"/>
        <color theme="1"/>
        <rFont val="Calibri"/>
        <family val="2"/>
      </rPr>
      <t>™</t>
    </r>
    <r>
      <rPr>
        <b/>
        <sz val="14"/>
        <color theme="1"/>
        <rFont val="Calibri"/>
        <family val="2"/>
        <scheme val="minor"/>
      </rPr>
      <t xml:space="preserve"> DATA--------</t>
    </r>
  </si>
  <si>
    <t>--------TRANSFORMER DATA--------</t>
  </si>
  <si>
    <t>SOURCE VOLTAGE (Kv LINE-TO-LINE):</t>
  </si>
  <si>
    <t>SOURCE 3-PHASE SHORT CIRCUIT CURRENT (kA):</t>
  </si>
  <si>
    <t>PERCENT IMPEDANCE (ON TRANSFORMER BASE):</t>
  </si>
  <si>
    <t>MOTOR VOLTAGE RATING (kV):</t>
  </si>
  <si>
    <t>FULL LOAD CURRENT RATING (FLA):</t>
  </si>
  <si>
    <t>LOCK ROTOR CURRENT (%):</t>
  </si>
  <si>
    <t>LOCK ROTOR PF (%):</t>
  </si>
  <si>
    <t xml:space="preserve"> </t>
  </si>
  <si>
    <r>
      <t>actiVAR</t>
    </r>
    <r>
      <rPr>
        <b/>
        <sz val="11"/>
        <color theme="1"/>
        <rFont val="Calibri"/>
        <family val="2"/>
      </rPr>
      <t>™</t>
    </r>
    <r>
      <rPr>
        <b/>
        <sz val="11"/>
        <color theme="1"/>
        <rFont val="Calibri"/>
        <family val="2"/>
        <scheme val="minor"/>
      </rPr>
      <t xml:space="preserve"> RATING (kV LINE-TO-LINE):</t>
    </r>
  </si>
  <si>
    <r>
      <t>actiVAR</t>
    </r>
    <r>
      <rPr>
        <b/>
        <sz val="11"/>
        <color theme="1"/>
        <rFont val="Calibri"/>
        <family val="2"/>
      </rPr>
      <t>™</t>
    </r>
    <r>
      <rPr>
        <b/>
        <sz val="11"/>
        <color theme="1"/>
        <rFont val="Calibri"/>
        <family val="2"/>
        <scheme val="minor"/>
      </rPr>
      <t xml:space="preserve"> RATING (MVAR THREE-PHASE):</t>
    </r>
  </si>
  <si>
    <t>Inrush Current with actiVAR</t>
  </si>
  <si>
    <t>Inrush Current without actiVAR</t>
  </si>
  <si>
    <t>amps</t>
  </si>
  <si>
    <t>Per Unit of FLA</t>
  </si>
  <si>
    <t>Motor Inrush Current</t>
  </si>
  <si>
    <t>Number of Steps</t>
  </si>
  <si>
    <t>Enter System Voltage:</t>
  </si>
  <si>
    <t>kV</t>
  </si>
  <si>
    <t>Enter total kvar required by actiVAR:</t>
  </si>
  <si>
    <t>kvar</t>
  </si>
  <si>
    <t>MVA</t>
  </si>
  <si>
    <t>Number of Stages</t>
  </si>
  <si>
    <t>Stage Sequence</t>
  </si>
  <si>
    <t>Smallest Step Size</t>
  </si>
  <si>
    <t>Approximate Voltage Resolution</t>
  </si>
  <si>
    <t>1:1</t>
  </si>
  <si>
    <t>1:1:1</t>
  </si>
  <si>
    <t>1:1:1:1</t>
  </si>
  <si>
    <t>Calculated MVAsc at actiVAR:</t>
  </si>
  <si>
    <t>Northeast Power Systems, Inc.</t>
  </si>
  <si>
    <t xml:space="preserve">66 Carey Road, Queensbury, NY              </t>
  </si>
  <si>
    <t>Phone: (518) 792-4776   Fax: (518) 792-5767    www.nepsi.com</t>
  </si>
  <si>
    <t>actiVAR Performance Calculator</t>
  </si>
  <si>
    <t>HP Rating of Motor (HP):</t>
  </si>
  <si>
    <t>Enter KVA/HP Based on Table 1:</t>
  </si>
  <si>
    <t>Enter Motor Terminal Voltage (kV):</t>
  </si>
  <si>
    <t>Motor Inrush Current:</t>
  </si>
  <si>
    <t>Enter FLA rating of Motor (Amps):</t>
  </si>
  <si>
    <t>Locked Rotor Current %:</t>
  </si>
  <si>
    <t xml:space="preserve">Use Locked-Rotor CODE on motor nameplate (KVA/HP) to determine Locked Rotor Current (%) for insertion in calculation above </t>
  </si>
  <si>
    <t>{"IsHide":true,"SheetId":0,"Name":"actiVAR Motor Start Calculation","HiddenRow":0,"VisibleRange":"","SheetTheme":{"TabColor":"","BodyColor":"","BodyImage":""}}</t>
  </si>
  <si>
    <t>{"IsHide":true,"SheetId":0,"Name":"Voltage Resolution ","HiddenRow":0,"VisibleRange":"","SheetTheme":{"TabColor":"","BodyColor":"","BodyImage":""}}</t>
  </si>
  <si>
    <t>{"IsHide":true,"SheetId":0,"Name":"Sheet1","HiddenRow":0,"VisibleRange":"","SheetTheme":{"TabColor":"","BodyColor":"","BodyImage":""}}</t>
  </si>
  <si>
    <r>
      <t>actiVAR</t>
    </r>
    <r>
      <rPr>
        <b/>
        <sz val="14"/>
        <color theme="1"/>
        <rFont val="Calibri"/>
        <family val="2"/>
      </rPr>
      <t>™</t>
    </r>
    <r>
      <rPr>
        <b/>
        <sz val="14"/>
        <color theme="1"/>
        <rFont val="Calibri"/>
        <family val="2"/>
        <scheme val="minor"/>
      </rPr>
      <t xml:space="preserve"> Voltage Resolution, Stage Sequence, Step &amp; Stage Size Table</t>
    </r>
  </si>
  <si>
    <r>
      <t xml:space="preserve">* Current Rating of ABB DS1M: </t>
    </r>
    <r>
      <rPr>
        <sz val="11"/>
        <color theme="1"/>
        <rFont val="Calibri"/>
        <family val="2"/>
      </rPr>
      <t>≈ 444 Amps, values colored red are not valid ratings</t>
    </r>
  </si>
  <si>
    <t>1:1:1:1:1</t>
  </si>
  <si>
    <t>1:1:1:1:1:1</t>
  </si>
  <si>
    <t>1:1:1:1:1:1:1</t>
  </si>
  <si>
    <t>1:1:1:1:1:1:1:1</t>
  </si>
  <si>
    <t>Load</t>
  </si>
  <si>
    <t>Required DS1M Rating Stage (amps)*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</si>
</sst>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
    <numFmt numFmtId="166" formatCode="0.000"/>
    <numFmt numFmtId="167" formatCode="0.0000"/>
  </numFmts>
  <fonts count="21" x14ac:knownFonts="1">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b/>
      <vertAlign val="subscript"/>
      <sz val="11"/>
      <color theme="1"/>
      <name val="Calibri"/>
      <family val="2"/>
      <scheme val="minor"/>
    </font>
    <font>
      <b/>
      <sz val="14"/>
      <color theme="1"/>
      <name val="Calibri"/>
      <family val="2"/>
    </font>
    <font>
      <b/>
      <sz val="11"/>
      <color theme="1"/>
      <name val="Calibri"/>
      <family val="2"/>
    </font>
    <font>
      <sz val="11"/>
      <color rgb="FFFF0000"/>
      <name val="Calibri"/>
      <family val="2"/>
      <scheme val="minor"/>
    </font>
    <font>
      <sz val="11"/>
      <color rgb="FF006100"/>
      <name val="Calibri"/>
      <family val="2"/>
      <scheme val="minor"/>
    </font>
    <font>
      <b/>
      <sz val="14"/>
      <name val="Calibri"/>
      <family val="2"/>
      <scheme val="minor"/>
    </font>
    <font>
      <b/>
      <sz val="11"/>
      <color theme="4" tint="-0.249977111117893"/>
      <name val="Calibri"/>
      <family val="2"/>
      <scheme val="minor"/>
    </font>
    <font>
      <sz val="11"/>
      <color theme="4" tint="-0.249977111117893"/>
      <name val="Calibri"/>
      <family val="2"/>
      <scheme val="minor"/>
    </font>
    <font>
      <sz val="11"/>
      <color theme="1"/>
      <name val="Calibri"/>
      <family val="2"/>
    </font>
    <font>
      <sz val="20"/>
      <color theme="1"/>
      <name val="Calibri"/>
      <family val="2"/>
      <scheme val="minor"/>
    </font>
    <font>
      <sz val="14"/>
      <color theme="1"/>
      <name val="Calibri"/>
      <family val="2"/>
      <scheme val="minor"/>
    </font>
    <font>
      <sz val="16"/>
      <color theme="1"/>
      <name val="Calibri"/>
      <family val="2"/>
      <scheme val="minor"/>
    </font>
    <font>
      <b/>
      <sz val="20"/>
      <color theme="1"/>
      <name val="Calibri"/>
      <family val="2"/>
      <scheme val="minor"/>
    </font>
    <font>
      <b/>
      <sz val="16"/>
      <color theme="1"/>
      <name val="Calibri"/>
      <family val="2"/>
      <scheme val="minor"/>
    </font>
  </fonts>
  <fills count="11">
    <fill>
      <patternFill patternType="none"/>
    </fill>
    <fill>
      <patternFill patternType="gray125"/>
    </fill>
    <fill>
      <patternFill patternType="solid">
        <fgColor rgb="FFFFC7CE"/>
      </patternFill>
    </fill>
    <fill>
      <patternFill patternType="solid">
        <fgColor rgb="FFFFFFCC"/>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4" tint="0.79998168889431442"/>
        <bgColor indexed="64"/>
      </patternFill>
    </fill>
  </fills>
  <borders count="46">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diagonal/>
    </border>
    <border>
      <left/>
      <right/>
      <top/>
      <bottom style="thin">
        <color indexed="64"/>
      </bottom>
      <diagonal/>
    </border>
    <border>
      <left/>
      <right/>
      <top style="thin">
        <color indexed="64"/>
      </top>
      <bottom/>
      <diagonal/>
    </border>
  </borders>
  <cellStyleXfs count="6">
    <xf numFmtId="0" fontId="0" fillId="0" borderId="0"/>
    <xf numFmtId="0" fontId="2" fillId="2" borderId="0" applyNumberFormat="0" applyBorder="0" applyAlignment="0" applyProtection="0"/>
    <xf numFmtId="0" fontId="1" fillId="3" borderId="1" applyNumberFormat="0" applyFont="0" applyAlignment="0" applyProtection="0"/>
    <xf numFmtId="9" fontId="1" fillId="0" borderId="0" applyFont="0" applyFill="0" applyBorder="0" applyAlignment="0" applyProtection="0"/>
    <xf numFmtId="0" fontId="11" fillId="7" borderId="0" applyNumberFormat="0" applyBorder="0" applyAlignment="0" applyProtection="0"/>
    <xf numFmtId="0" fontId="1" fillId="0" borderId="0"/>
  </cellStyleXfs>
  <cellXfs count="137">
    <xf numFmtId="0" fontId="0" fillId="0" borderId="0" xfId="0"/>
    <xf numFmtId="0" fontId="3" fillId="0" borderId="4" xfId="0" applyFont="1" applyBorder="1" applyAlignment="1">
      <alignment horizontal="right" vertical="center"/>
    </xf>
    <xf numFmtId="2" fontId="0" fillId="4" borderId="8" xfId="0" applyNumberFormat="1" applyFill="1" applyBorder="1" applyAlignment="1">
      <alignment horizontal="center" vertical="center"/>
    </xf>
    <xf numFmtId="0" fontId="0" fillId="0" borderId="0" xfId="0" applyAlignment="1">
      <alignment vertical="center" wrapText="1" readingOrder="1"/>
    </xf>
    <xf numFmtId="165" fontId="0" fillId="4" borderId="4" xfId="0" applyNumberFormat="1" applyFill="1" applyBorder="1" applyAlignment="1">
      <alignment horizontal="center"/>
    </xf>
    <xf numFmtId="165" fontId="0" fillId="4" borderId="5" xfId="0" applyNumberFormat="1" applyFill="1" applyBorder="1" applyAlignment="1">
      <alignment horizontal="center"/>
    </xf>
    <xf numFmtId="0" fontId="3" fillId="6" borderId="6" xfId="0" applyFont="1" applyFill="1" applyBorder="1" applyAlignment="1">
      <alignment horizontal="center" vertical="center" wrapText="1"/>
    </xf>
    <xf numFmtId="0" fontId="3" fillId="4" borderId="2" xfId="0" applyFont="1" applyFill="1" applyBorder="1" applyAlignment="1">
      <alignment horizontal="center"/>
    </xf>
    <xf numFmtId="0" fontId="3" fillId="4" borderId="3" xfId="0" applyFont="1" applyFill="1" applyBorder="1" applyAlignment="1">
      <alignment horizontal="center"/>
    </xf>
    <xf numFmtId="164" fontId="0" fillId="4" borderId="18" xfId="0" applyNumberFormat="1" applyFill="1" applyBorder="1" applyAlignment="1">
      <alignment horizontal="center" vertical="center"/>
    </xf>
    <xf numFmtId="0" fontId="0" fillId="0" borderId="0" xfId="0" quotePrefix="1"/>
    <xf numFmtId="0" fontId="0" fillId="6" borderId="9" xfId="0" applyFill="1" applyBorder="1"/>
    <xf numFmtId="0" fontId="0" fillId="6" borderId="16" xfId="0" applyFill="1" applyBorder="1"/>
    <xf numFmtId="0" fontId="3" fillId="0" borderId="11" xfId="0" applyFont="1" applyBorder="1" applyAlignment="1">
      <alignment horizontal="right" vertical="center"/>
    </xf>
    <xf numFmtId="0" fontId="5" fillId="4" borderId="2" xfId="1" applyFont="1" applyFill="1" applyBorder="1" applyAlignment="1">
      <alignment horizontal="center"/>
    </xf>
    <xf numFmtId="0" fontId="5" fillId="4" borderId="3" xfId="1" applyFont="1" applyFill="1" applyBorder="1" applyAlignment="1">
      <alignment horizontal="center"/>
    </xf>
    <xf numFmtId="165" fontId="4" fillId="4" borderId="4" xfId="1" applyNumberFormat="1" applyFont="1" applyFill="1" applyBorder="1" applyAlignment="1">
      <alignment horizontal="center"/>
    </xf>
    <xf numFmtId="165" fontId="4" fillId="4" borderId="5" xfId="1" applyNumberFormat="1" applyFont="1" applyFill="1" applyBorder="1" applyAlignment="1">
      <alignment horizontal="center"/>
    </xf>
    <xf numFmtId="2" fontId="4" fillId="4" borderId="4" xfId="1" applyNumberFormat="1" applyFont="1" applyFill="1" applyBorder="1" applyAlignment="1">
      <alignment horizontal="center" vertical="center"/>
    </xf>
    <xf numFmtId="165" fontId="4" fillId="4" borderId="5" xfId="1" applyNumberFormat="1" applyFont="1" applyFill="1" applyBorder="1" applyAlignment="1">
      <alignment horizontal="center" vertical="center"/>
    </xf>
    <xf numFmtId="164" fontId="0" fillId="4" borderId="22" xfId="0" applyNumberFormat="1" applyFill="1" applyBorder="1" applyAlignment="1">
      <alignment horizontal="center" vertical="center"/>
    </xf>
    <xf numFmtId="0" fontId="5" fillId="4" borderId="33" xfId="1" applyFont="1" applyFill="1" applyBorder="1" applyAlignment="1">
      <alignment horizontal="center"/>
    </xf>
    <xf numFmtId="0" fontId="5" fillId="4" borderId="34" xfId="1" applyFont="1" applyFill="1" applyBorder="1" applyAlignment="1">
      <alignment horizontal="center"/>
    </xf>
    <xf numFmtId="0" fontId="0" fillId="0" borderId="0" xfId="0" applyAlignment="1">
      <alignment wrapText="1"/>
    </xf>
    <xf numFmtId="165" fontId="0" fillId="4" borderId="4" xfId="0" applyNumberFormat="1" applyFill="1" applyBorder="1" applyAlignment="1">
      <alignment horizontal="center" vertical="center"/>
    </xf>
    <xf numFmtId="165" fontId="0" fillId="4" borderId="5" xfId="0" applyNumberFormat="1" applyFill="1" applyBorder="1" applyAlignment="1">
      <alignment horizontal="center" vertical="center"/>
    </xf>
    <xf numFmtId="2" fontId="0" fillId="4" borderId="29" xfId="0" applyNumberFormat="1" applyFill="1" applyBorder="1" applyAlignment="1">
      <alignment horizontal="center" vertical="center"/>
    </xf>
    <xf numFmtId="164" fontId="0" fillId="4" borderId="30" xfId="0" applyNumberFormat="1" applyFill="1" applyBorder="1" applyAlignment="1">
      <alignment horizontal="center" vertical="center"/>
    </xf>
    <xf numFmtId="0" fontId="3" fillId="0" borderId="37" xfId="0" applyFont="1" applyBorder="1"/>
    <xf numFmtId="0" fontId="0" fillId="0" borderId="38" xfId="0" applyBorder="1"/>
    <xf numFmtId="1" fontId="0" fillId="4" borderId="39" xfId="0" applyNumberFormat="1" applyFill="1" applyBorder="1" applyAlignment="1">
      <alignment horizontal="center"/>
    </xf>
    <xf numFmtId="2" fontId="0" fillId="4" borderId="39" xfId="0" applyNumberFormat="1" applyFill="1" applyBorder="1" applyAlignment="1">
      <alignment horizontal="center"/>
    </xf>
    <xf numFmtId="0" fontId="3" fillId="0" borderId="36" xfId="0" applyFont="1" applyBorder="1" applyAlignment="1">
      <alignment horizontal="right"/>
    </xf>
    <xf numFmtId="0" fontId="3" fillId="0" borderId="9" xfId="0" applyFont="1" applyBorder="1" applyAlignment="1">
      <alignment horizontal="right"/>
    </xf>
    <xf numFmtId="2" fontId="0" fillId="4" borderId="28" xfId="0" applyNumberFormat="1" applyFill="1" applyBorder="1" applyAlignment="1">
      <alignment horizontal="center" vertical="center"/>
    </xf>
    <xf numFmtId="165" fontId="0" fillId="0" borderId="0" xfId="0" applyNumberFormat="1"/>
    <xf numFmtId="166" fontId="0" fillId="0" borderId="0" xfId="0" applyNumberFormat="1"/>
    <xf numFmtId="0" fontId="10" fillId="0" borderId="0" xfId="0" applyFont="1"/>
    <xf numFmtId="0" fontId="0" fillId="0" borderId="0" xfId="0" applyAlignment="1">
      <alignment horizontal="left"/>
    </xf>
    <xf numFmtId="0" fontId="12" fillId="0" borderId="0" xfId="0" applyFont="1" applyAlignment="1">
      <alignment vertical="center" wrapText="1"/>
    </xf>
    <xf numFmtId="1" fontId="0" fillId="4" borderId="40" xfId="0" applyNumberFormat="1" applyFill="1" applyBorder="1" applyAlignment="1">
      <alignment horizontal="center"/>
    </xf>
    <xf numFmtId="0" fontId="3" fillId="0" borderId="0" xfId="0" applyFont="1"/>
    <xf numFmtId="2" fontId="0" fillId="4" borderId="40" xfId="0" applyNumberFormat="1" applyFill="1" applyBorder="1" applyAlignment="1">
      <alignment horizontal="center"/>
    </xf>
    <xf numFmtId="0" fontId="0" fillId="0" borderId="10" xfId="0" applyBorder="1"/>
    <xf numFmtId="0" fontId="0" fillId="0" borderId="0" xfId="0" applyAlignment="1">
      <alignment horizontal="right"/>
    </xf>
    <xf numFmtId="0" fontId="3" fillId="0" borderId="0" xfId="0" applyFont="1" applyAlignment="1">
      <alignment horizontal="center"/>
    </xf>
    <xf numFmtId="0" fontId="5" fillId="8" borderId="43" xfId="0" applyFont="1" applyFill="1" applyBorder="1" applyAlignment="1">
      <alignment horizontal="center" wrapText="1"/>
    </xf>
    <xf numFmtId="0" fontId="5" fillId="8" borderId="43" xfId="0" applyFont="1" applyFill="1" applyBorder="1"/>
    <xf numFmtId="1" fontId="5" fillId="8" borderId="43" xfId="0" applyNumberFormat="1" applyFont="1" applyFill="1" applyBorder="1" applyAlignment="1">
      <alignment horizontal="center" wrapText="1"/>
    </xf>
    <xf numFmtId="0" fontId="13" fillId="8" borderId="43" xfId="0" applyFont="1" applyFill="1" applyBorder="1"/>
    <xf numFmtId="0" fontId="4" fillId="8" borderId="0" xfId="0" applyFont="1" applyFill="1" applyAlignment="1">
      <alignment horizontal="center"/>
    </xf>
    <xf numFmtId="0" fontId="4" fillId="8" borderId="0" xfId="0" applyFont="1" applyFill="1"/>
    <xf numFmtId="1" fontId="4" fillId="8" borderId="0" xfId="0" applyNumberFormat="1" applyFont="1" applyFill="1" applyAlignment="1">
      <alignment horizontal="center"/>
    </xf>
    <xf numFmtId="20" fontId="4" fillId="8" borderId="0" xfId="0" applyNumberFormat="1" applyFont="1" applyFill="1" applyAlignment="1">
      <alignment horizontal="center"/>
    </xf>
    <xf numFmtId="0" fontId="14" fillId="8" borderId="0" xfId="0" applyFont="1" applyFill="1"/>
    <xf numFmtId="1" fontId="5" fillId="8" borderId="0" xfId="0" applyNumberFormat="1" applyFont="1" applyFill="1" applyAlignment="1">
      <alignment horizontal="center"/>
    </xf>
    <xf numFmtId="9" fontId="4" fillId="8" borderId="0" xfId="3" applyFont="1" applyFill="1" applyAlignment="1">
      <alignment horizontal="center"/>
    </xf>
    <xf numFmtId="21" fontId="4" fillId="8" borderId="0" xfId="0" applyNumberFormat="1" applyFont="1" applyFill="1" applyAlignment="1">
      <alignment horizontal="center"/>
    </xf>
    <xf numFmtId="1" fontId="0" fillId="0" borderId="0" xfId="0" applyNumberFormat="1" applyAlignment="1">
      <alignment horizontal="center"/>
    </xf>
    <xf numFmtId="0" fontId="0" fillId="0" borderId="0" xfId="0" applyAlignment="1">
      <alignment horizontal="center"/>
    </xf>
    <xf numFmtId="0" fontId="11" fillId="0" borderId="0" xfId="4" applyFill="1"/>
    <xf numFmtId="1" fontId="0" fillId="0" borderId="0" xfId="0" applyNumberFormat="1" applyAlignment="1">
      <alignment horizontal="left"/>
    </xf>
    <xf numFmtId="2" fontId="0" fillId="0" borderId="0" xfId="0" applyNumberFormat="1" applyAlignment="1">
      <alignment horizontal="left"/>
    </xf>
    <xf numFmtId="164" fontId="0" fillId="0" borderId="0" xfId="0" applyNumberFormat="1" applyAlignment="1">
      <alignment horizontal="center"/>
    </xf>
    <xf numFmtId="2" fontId="0" fillId="0" borderId="0" xfId="0" applyNumberFormat="1"/>
    <xf numFmtId="0" fontId="17" fillId="0" borderId="0" xfId="0" applyFont="1"/>
    <xf numFmtId="0" fontId="0" fillId="3" borderId="1" xfId="2" applyFont="1" applyAlignment="1" applyProtection="1">
      <alignment horizontal="center"/>
      <protection locked="0"/>
    </xf>
    <xf numFmtId="166" fontId="0" fillId="0" borderId="0" xfId="0" applyNumberFormat="1" applyAlignment="1">
      <alignment horizontal="center"/>
    </xf>
    <xf numFmtId="0" fontId="16" fillId="0" borderId="44" xfId="0" applyFont="1" applyBorder="1"/>
    <xf numFmtId="0" fontId="17" fillId="0" borderId="45" xfId="0" applyFont="1" applyBorder="1"/>
    <xf numFmtId="0" fontId="18" fillId="0" borderId="0" xfId="0" applyFont="1"/>
    <xf numFmtId="0" fontId="16" fillId="0" borderId="0" xfId="0" applyFont="1"/>
    <xf numFmtId="0" fontId="19" fillId="0" borderId="44" xfId="0" applyFont="1" applyBorder="1"/>
    <xf numFmtId="0" fontId="1" fillId="0" borderId="0" xfId="5" applyAlignment="1">
      <alignment horizontal="center"/>
    </xf>
    <xf numFmtId="0" fontId="0" fillId="3" borderId="12" xfId="2" applyFont="1" applyBorder="1" applyAlignment="1" applyProtection="1">
      <alignment horizontal="center"/>
      <protection locked="0"/>
    </xf>
    <xf numFmtId="0" fontId="0" fillId="3" borderId="17" xfId="2" applyFont="1" applyBorder="1" applyAlignment="1" applyProtection="1">
      <alignment horizontal="center"/>
      <protection locked="0"/>
    </xf>
    <xf numFmtId="0" fontId="0" fillId="3" borderId="31" xfId="2" applyFont="1" applyBorder="1" applyAlignment="1" applyProtection="1">
      <alignment horizontal="center"/>
      <protection locked="0"/>
    </xf>
    <xf numFmtId="0" fontId="0" fillId="3" borderId="34" xfId="2" applyFont="1" applyBorder="1" applyAlignment="1" applyProtection="1">
      <alignment horizontal="center"/>
      <protection locked="0"/>
    </xf>
    <xf numFmtId="0" fontId="0" fillId="3" borderId="35" xfId="2" applyFont="1" applyBorder="1" applyAlignment="1" applyProtection="1">
      <alignment horizontal="center" vertical="center"/>
      <protection locked="0"/>
    </xf>
    <xf numFmtId="1" fontId="0" fillId="9" borderId="6" xfId="0" applyNumberFormat="1" applyFill="1" applyBorder="1" applyAlignment="1">
      <alignment horizontal="center"/>
    </xf>
    <xf numFmtId="9" fontId="0" fillId="9" borderId="6" xfId="3" applyFont="1" applyFill="1" applyBorder="1" applyAlignment="1">
      <alignment horizontal="center"/>
    </xf>
    <xf numFmtId="0" fontId="17" fillId="0" borderId="44" xfId="0" applyFont="1" applyBorder="1"/>
    <xf numFmtId="0" fontId="20" fillId="0" borderId="0" xfId="0" applyFont="1"/>
    <xf numFmtId="0" fontId="0" fillId="3" borderId="17" xfId="2" applyFont="1" applyBorder="1" applyAlignment="1" applyProtection="1">
      <alignment horizontal="center" vertical="center"/>
      <protection locked="0"/>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1" fontId="4" fillId="4" borderId="31" xfId="1" applyNumberFormat="1" applyFont="1" applyFill="1" applyBorder="1" applyAlignment="1">
      <alignment horizontal="center" vertical="center"/>
    </xf>
    <xf numFmtId="165" fontId="4" fillId="4" borderId="4" xfId="1" applyNumberFormat="1" applyFont="1" applyFill="1" applyBorder="1" applyAlignment="1">
      <alignment horizontal="center" vertical="center"/>
    </xf>
    <xf numFmtId="164" fontId="0" fillId="3" borderId="1" xfId="2" applyNumberFormat="1" applyFont="1" applyAlignment="1" applyProtection="1">
      <alignment horizontal="center"/>
      <protection locked="0"/>
    </xf>
    <xf numFmtId="0" fontId="4" fillId="10" borderId="0" xfId="0" applyFont="1" applyFill="1" applyAlignment="1">
      <alignment horizontal="center"/>
    </xf>
    <xf numFmtId="0" fontId="4" fillId="10" borderId="0" xfId="0" applyFont="1" applyFill="1"/>
    <xf numFmtId="1" fontId="4" fillId="10" borderId="0" xfId="0" applyNumberFormat="1" applyFont="1" applyFill="1" applyAlignment="1">
      <alignment horizontal="center"/>
    </xf>
    <xf numFmtId="0" fontId="14" fillId="10" borderId="0" xfId="0" applyFont="1" applyFill="1"/>
    <xf numFmtId="1" fontId="5" fillId="10" borderId="0" xfId="0" applyNumberFormat="1" applyFont="1" applyFill="1" applyAlignment="1">
      <alignment horizontal="center"/>
    </xf>
    <xf numFmtId="10" fontId="4" fillId="10" borderId="0" xfId="3" applyNumberFormat="1" applyFont="1" applyFill="1" applyAlignment="1">
      <alignment horizontal="center"/>
    </xf>
    <xf numFmtId="167" fontId="0" fillId="0" borderId="0" xfId="0" applyNumberFormat="1"/>
    <xf numFmtId="2" fontId="0" fillId="4" borderId="8" xfId="3" applyNumberFormat="1" applyFont="1" applyFill="1" applyBorder="1" applyAlignment="1">
      <alignment horizontal="center" vertical="center"/>
    </xf>
    <xf numFmtId="0" fontId="0" fillId="0" borderId="0" xfId="0" applyAlignment="1">
      <alignment horizontal="left" vertical="top"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6" fillId="5" borderId="13"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15" xfId="0" applyFont="1" applyFill="1" applyBorder="1" applyAlignment="1">
      <alignment horizontal="center" vertical="center"/>
    </xf>
    <xf numFmtId="0" fontId="3" fillId="0" borderId="37" xfId="0" applyFont="1" applyBorder="1" applyAlignment="1">
      <alignment horizontal="left"/>
    </xf>
    <xf numFmtId="0" fontId="3" fillId="0" borderId="0" xfId="0" applyFont="1" applyAlignment="1">
      <alignment horizontal="left"/>
    </xf>
    <xf numFmtId="0" fontId="3" fillId="4" borderId="23" xfId="0" applyFont="1" applyFill="1" applyBorder="1" applyAlignment="1">
      <alignment horizontal="center"/>
    </xf>
    <xf numFmtId="0" fontId="3" fillId="4" borderId="24"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25" xfId="0" applyFont="1" applyFill="1" applyBorder="1" applyAlignment="1">
      <alignment horizontal="center"/>
    </xf>
    <xf numFmtId="0" fontId="3" fillId="0" borderId="23" xfId="0" applyFont="1" applyBorder="1" applyAlignment="1">
      <alignment horizontal="right"/>
    </xf>
    <xf numFmtId="0" fontId="3" fillId="0" borderId="26" xfId="0" applyFont="1" applyBorder="1" applyAlignment="1">
      <alignment horizontal="right"/>
    </xf>
    <xf numFmtId="0" fontId="3" fillId="0" borderId="9" xfId="0" applyFont="1" applyBorder="1" applyAlignment="1">
      <alignment horizontal="right"/>
    </xf>
    <xf numFmtId="0" fontId="3" fillId="0" borderId="0" xfId="0" applyFont="1" applyAlignment="1">
      <alignment horizontal="right"/>
    </xf>
    <xf numFmtId="0" fontId="3" fillId="6" borderId="7" xfId="0" applyFont="1" applyFill="1" applyBorder="1" applyAlignment="1">
      <alignment horizontal="center" vertical="center"/>
    </xf>
    <xf numFmtId="0" fontId="3" fillId="6" borderId="12"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0" borderId="36" xfId="0" applyFont="1" applyBorder="1" applyAlignment="1">
      <alignment horizontal="right" vertical="center" wrapText="1"/>
    </xf>
    <xf numFmtId="0" fontId="3" fillId="0" borderId="38" xfId="0" applyFont="1" applyBorder="1" applyAlignment="1">
      <alignment horizontal="right" vertical="center" wrapText="1"/>
    </xf>
    <xf numFmtId="0" fontId="3" fillId="0" borderId="11" xfId="0" applyFont="1" applyBorder="1" applyAlignment="1">
      <alignment horizontal="right" vertical="center" wrapText="1"/>
    </xf>
    <xf numFmtId="0" fontId="3" fillId="0" borderId="32" xfId="0" applyFont="1" applyBorder="1" applyAlignment="1">
      <alignment horizontal="right"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13" xfId="0" applyFont="1" applyFill="1" applyBorder="1" applyAlignment="1">
      <alignment horizontal="center"/>
    </xf>
    <xf numFmtId="0" fontId="3" fillId="4" borderId="15" xfId="0" applyFont="1" applyFill="1" applyBorder="1" applyAlignment="1">
      <alignment horizontal="center"/>
    </xf>
    <xf numFmtId="0" fontId="6" fillId="5" borderId="13" xfId="0" quotePrefix="1" applyFont="1" applyFill="1" applyBorder="1" applyAlignment="1">
      <alignment horizontal="center"/>
    </xf>
    <xf numFmtId="0" fontId="6" fillId="5" borderId="14" xfId="0" quotePrefix="1" applyFont="1" applyFill="1" applyBorder="1" applyAlignment="1">
      <alignment horizontal="center"/>
    </xf>
    <xf numFmtId="0" fontId="6" fillId="5" borderId="15" xfId="0" quotePrefix="1" applyFont="1" applyFill="1" applyBorder="1" applyAlignment="1">
      <alignment horizontal="center"/>
    </xf>
    <xf numFmtId="0" fontId="0" fillId="0" borderId="0" xfId="0"/>
    <xf numFmtId="0" fontId="3" fillId="0" borderId="11" xfId="0" applyFont="1" applyBorder="1" applyAlignment="1">
      <alignment horizontal="right"/>
    </xf>
    <xf numFmtId="0" fontId="3" fillId="0" borderId="27" xfId="0" applyFont="1" applyBorder="1" applyAlignment="1">
      <alignment horizontal="right"/>
    </xf>
    <xf numFmtId="0" fontId="5" fillId="4" borderId="13" xfId="0" applyFont="1" applyFill="1" applyBorder="1" applyAlignment="1">
      <alignment horizontal="center"/>
    </xf>
    <xf numFmtId="0" fontId="5" fillId="4" borderId="15" xfId="0" applyFont="1" applyFill="1" applyBorder="1" applyAlignment="1">
      <alignment horizontal="center"/>
    </xf>
    <xf numFmtId="0" fontId="6" fillId="0" borderId="0" xfId="0" applyFont="1" applyAlignment="1">
      <alignment horizontal="center"/>
    </xf>
  </cellXfs>
  <cellStyles count="6">
    <cellStyle name="Bad" xfId="1" builtinId="27"/>
    <cellStyle name="Good" xfId="4" builtinId="26"/>
    <cellStyle name="Normal" xfId="0" builtinId="0"/>
    <cellStyle name="Normal 2" xfId="5" xr:uid="{00000000-0005-0000-0000-000003000000}"/>
    <cellStyle name="Note" xfId="2" builtinId="10"/>
    <cellStyle name="Percent" xfId="3" builtinId="5"/>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278636</xdr:colOff>
      <xdr:row>0</xdr:row>
      <xdr:rowOff>107674</xdr:rowOff>
    </xdr:from>
    <xdr:to>
      <xdr:col>7</xdr:col>
      <xdr:colOff>1045343</xdr:colOff>
      <xdr:row>2</xdr:row>
      <xdr:rowOff>304865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2723" y="107674"/>
          <a:ext cx="1669511" cy="578191"/>
        </a:xfrm>
        <a:prstGeom prst="rect">
          <a:avLst/>
        </a:prstGeom>
      </xdr:spPr>
    </xdr:pic>
    <xdr:clientData/>
  </xdr:twoCellAnchor>
  <xdr:twoCellAnchor editAs="oneCell">
    <xdr:from>
      <xdr:col>4</xdr:col>
      <xdr:colOff>563213</xdr:colOff>
      <xdr:row>37</xdr:row>
      <xdr:rowOff>66264</xdr:rowOff>
    </xdr:from>
    <xdr:to>
      <xdr:col>8</xdr:col>
      <xdr:colOff>3756</xdr:colOff>
      <xdr:row>52</xdr:row>
      <xdr:rowOff>139211</xdr:rowOff>
    </xdr:to>
    <xdr:pic>
      <xdr:nvPicPr>
        <xdr:cNvPr id="7" name="Picture 6" descr="Screen Clipping">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2654"/>
        <a:stretch/>
      </xdr:blipFill>
      <xdr:spPr>
        <a:xfrm>
          <a:off x="4556386" y="10485149"/>
          <a:ext cx="3206582" cy="2930447"/>
        </a:xfrm>
        <a:prstGeom prst="rect">
          <a:avLst/>
        </a:prstGeom>
      </xdr:spPr>
    </xdr:pic>
    <xdr:clientData/>
  </xdr:twoCellAnchor>
  <xdr:twoCellAnchor>
    <xdr:from>
      <xdr:col>0</xdr:col>
      <xdr:colOff>175846</xdr:colOff>
      <xdr:row>6</xdr:row>
      <xdr:rowOff>14655</xdr:rowOff>
    </xdr:from>
    <xdr:to>
      <xdr:col>8</xdr:col>
      <xdr:colOff>0</xdr:colOff>
      <xdr:row>6</xdr:row>
      <xdr:rowOff>2029558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75846" y="1260232"/>
          <a:ext cx="7671289" cy="20149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The following calculator computes the expected performance of NEPSI's actiVAR™ in reducing voltage sags associated with large motor starts. Expected voltage sag, voltage drop, and inrush currents are calculated for "across-the-line motor starts" based on system impedance data and motor nameplate rating.</a:t>
          </a:r>
          <a:br>
            <a:rPr lang="en-US" sz="1000"/>
          </a:br>
          <a:endParaRPr lang="en-US" sz="1000"/>
        </a:p>
        <a:p>
          <a:r>
            <a:rPr lang="en-US" sz="1000" b="1"/>
            <a:t>Known</a:t>
          </a:r>
          <a:r>
            <a:rPr lang="en-US" sz="1000" b="1" baseline="0"/>
            <a:t> Variables:</a:t>
          </a:r>
          <a:br>
            <a:rPr lang="en-US" sz="1000" baseline="0"/>
          </a:br>
          <a:r>
            <a:rPr lang="en-US" sz="1000" baseline="0"/>
            <a:t>Source Data: Source Voltage, Source Short Circuit Level (in kA), and X/R Ratio</a:t>
          </a:r>
        </a:p>
        <a:p>
          <a:endParaRPr lang="en-US" sz="1000" baseline="0"/>
        </a:p>
        <a:p>
          <a:r>
            <a:rPr lang="en-US" sz="1000" b="1" baseline="0"/>
            <a:t>Supply Side Transformer Data:</a:t>
          </a:r>
          <a:r>
            <a:rPr lang="en-US" sz="1000" baseline="0"/>
            <a:t> Transformer Power Rating (MVA), leakage impedance (in % on transformer base), and X/R ratio of leakage impedance</a:t>
          </a:r>
          <a:br>
            <a:rPr lang="en-US" sz="1000" baseline="0"/>
          </a:br>
          <a:br>
            <a:rPr lang="en-US" sz="1000" baseline="0"/>
          </a:br>
          <a:r>
            <a:rPr lang="en-US" sz="1000" b="1" baseline="0"/>
            <a:t>Motor Nameplate Data:</a:t>
          </a:r>
          <a:r>
            <a:rPr lang="en-US" sz="1000" baseline="0"/>
            <a:t> Motor voltage rating, motor full load current (FLA), motor locked rotor current (See code letters following calculator if not know), locked rotor power factor (assume 20% if not know)</a:t>
          </a:r>
          <a:endParaRPr lang="en-US" sz="1000"/>
        </a:p>
      </xdr:txBody>
    </xdr:sp>
    <xdr:clientData/>
  </xdr:twoCellAnchor>
  <xdr:twoCellAnchor editAs="oneCell">
    <xdr:from>
      <xdr:col>6</xdr:col>
      <xdr:colOff>36635</xdr:colOff>
      <xdr:row>9</xdr:row>
      <xdr:rowOff>109903</xdr:rowOff>
    </xdr:from>
    <xdr:to>
      <xdr:col>8</xdr:col>
      <xdr:colOff>7326</xdr:colOff>
      <xdr:row>22</xdr:row>
      <xdr:rowOff>85640</xdr:rowOff>
    </xdr:to>
    <xdr:pic>
      <xdr:nvPicPr>
        <xdr:cNvPr id="5" name="Picture 4">
          <a:extLst>
            <a:ext uri="{FF2B5EF4-FFF2-40B4-BE49-F238E27FC236}">
              <a16:creationId xmlns:a16="http://schemas.microsoft.com/office/drawing/2014/main" id="{27D5C575-A565-4728-9B72-FFF6E4F61DC6}"/>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570"/>
        <a:stretch/>
      </xdr:blipFill>
      <xdr:spPr>
        <a:xfrm>
          <a:off x="5810250" y="3809999"/>
          <a:ext cx="1956288" cy="2694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63141</xdr:colOff>
      <xdr:row>0</xdr:row>
      <xdr:rowOff>168089</xdr:rowOff>
    </xdr:from>
    <xdr:to>
      <xdr:col>11</xdr:col>
      <xdr:colOff>1378719</xdr:colOff>
      <xdr:row>3</xdr:row>
      <xdr:rowOff>9591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8935" y="168089"/>
          <a:ext cx="1315578" cy="5586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Y52"/>
  <sheetViews>
    <sheetView tabSelected="1" zoomScale="115" zoomScaleNormal="115" workbookViewId="0">
      <selection activeCell="C39" sqref="C39"/>
    </sheetView>
  </sheetViews>
  <sheetFormatPr defaultRowHeight="15" x14ac:dyDescent="0.25"/>
  <cols>
    <col min="1" max="1" width="1.42578125" customWidth="1"/>
    <col min="2" max="2" width="32.5703125" customWidth="1"/>
    <col min="3" max="3" width="12.5703125" customWidth="1"/>
    <col min="4" max="4" width="13.42578125" customWidth="1"/>
    <col min="5" max="5" width="13.7109375" customWidth="1"/>
    <col min="6" max="6" width="13" customWidth="1"/>
    <col min="7" max="7" width="13.5703125" customWidth="1"/>
    <col min="8" max="8" width="16.140625" customWidth="1"/>
    <col min="9" max="9" width="1" customWidth="1"/>
    <col min="10" max="10" width="30.140625" customWidth="1"/>
    <col min="11" max="11" width="46.42578125" customWidth="1"/>
    <col min="13" max="13" width="30.28515625" customWidth="1"/>
  </cols>
  <sheetData>
    <row r="1" spans="2:51" x14ac:dyDescent="0.25">
      <c r="AS1" s="59"/>
      <c r="AU1" s="59"/>
      <c r="AW1" s="59"/>
      <c r="AY1" s="59"/>
    </row>
    <row r="2" spans="2:51" x14ac:dyDescent="0.25">
      <c r="AO2" s="59"/>
      <c r="AP2" s="59"/>
      <c r="AQ2" s="59"/>
      <c r="AR2" s="59"/>
      <c r="AS2" s="59"/>
      <c r="AU2" s="59"/>
      <c r="AV2" s="59"/>
    </row>
    <row r="3" spans="2:51" ht="26.25" x14ac:dyDescent="0.4">
      <c r="B3" s="72" t="s">
        <v>53</v>
      </c>
      <c r="C3" s="68"/>
      <c r="D3" s="68"/>
      <c r="E3" s="68"/>
      <c r="F3" s="68"/>
      <c r="G3" s="68"/>
      <c r="H3" s="68"/>
      <c r="I3" s="71"/>
      <c r="J3" s="71"/>
      <c r="K3" s="71"/>
      <c r="L3" s="71"/>
      <c r="AP3" s="36"/>
      <c r="AQ3" s="67"/>
      <c r="AR3" s="67"/>
      <c r="AS3" s="63"/>
    </row>
    <row r="4" spans="2:51" ht="21" x14ac:dyDescent="0.35">
      <c r="B4" s="65" t="s">
        <v>54</v>
      </c>
      <c r="C4" s="65"/>
      <c r="D4" s="69" t="s">
        <v>55</v>
      </c>
      <c r="E4" s="65"/>
      <c r="F4" s="65"/>
      <c r="G4" s="65"/>
      <c r="H4" s="69"/>
      <c r="I4" s="65"/>
      <c r="J4" s="65"/>
      <c r="K4" s="70"/>
      <c r="L4" s="70"/>
      <c r="AP4" s="36"/>
      <c r="AQ4" s="67"/>
      <c r="AR4" s="67"/>
      <c r="AS4" s="63"/>
    </row>
    <row r="5" spans="2:51" ht="21" x14ac:dyDescent="0.35">
      <c r="B5" s="65"/>
      <c r="C5" s="65"/>
      <c r="D5" s="65"/>
      <c r="E5" s="65"/>
      <c r="F5" s="65"/>
      <c r="G5" s="65"/>
      <c r="H5" s="65"/>
      <c r="I5" s="65"/>
      <c r="J5" s="65"/>
      <c r="K5" s="70"/>
      <c r="L5" s="70"/>
      <c r="AP5" s="36"/>
      <c r="AQ5" s="67"/>
      <c r="AR5" s="67"/>
      <c r="AS5" s="63"/>
    </row>
    <row r="6" spans="2:51" ht="17.25" customHeight="1" x14ac:dyDescent="0.35">
      <c r="B6" s="82" t="s">
        <v>56</v>
      </c>
      <c r="C6" s="65"/>
      <c r="D6" s="65"/>
      <c r="E6" s="65"/>
      <c r="F6" s="65"/>
      <c r="G6" s="65"/>
      <c r="H6" s="65"/>
      <c r="I6" s="65"/>
      <c r="J6" s="65"/>
      <c r="K6" s="70"/>
      <c r="L6" s="70"/>
      <c r="AP6" s="36"/>
      <c r="AQ6" s="67"/>
      <c r="AR6" s="67"/>
      <c r="AS6" s="63"/>
    </row>
    <row r="7" spans="2:51" ht="162.75" customHeight="1" x14ac:dyDescent="0.35">
      <c r="B7" s="81"/>
      <c r="C7" s="81"/>
      <c r="D7" s="81"/>
      <c r="E7" s="81"/>
      <c r="F7" s="81"/>
      <c r="G7" s="81"/>
      <c r="H7" s="81"/>
      <c r="I7" s="65"/>
      <c r="J7" s="65"/>
      <c r="K7" s="70"/>
      <c r="L7" s="70"/>
      <c r="AP7" s="36"/>
      <c r="AQ7" s="67"/>
      <c r="AR7" s="67"/>
      <c r="AS7" s="63"/>
    </row>
    <row r="8" spans="2:51" ht="6" customHeight="1" x14ac:dyDescent="0.25"/>
    <row r="9" spans="2:51" ht="7.5" customHeight="1" thickBot="1" x14ac:dyDescent="0.3"/>
    <row r="10" spans="2:51" ht="19.5" thickBot="1" x14ac:dyDescent="0.35">
      <c r="B10" s="128" t="s">
        <v>9</v>
      </c>
      <c r="C10" s="129"/>
      <c r="D10" s="129"/>
      <c r="E10" s="129"/>
      <c r="F10" s="130"/>
      <c r="G10" s="10"/>
      <c r="H10" s="131" t="s">
        <v>31</v>
      </c>
      <c r="I10" s="131"/>
    </row>
    <row r="11" spans="2:51" ht="15.75" thickBot="1" x14ac:dyDescent="0.3">
      <c r="B11" s="112" t="s">
        <v>24</v>
      </c>
      <c r="C11" s="113"/>
      <c r="D11" s="74">
        <v>25</v>
      </c>
      <c r="E11" s="126" t="s">
        <v>7</v>
      </c>
      <c r="F11" s="127"/>
      <c r="H11" s="3" t="s">
        <v>31</v>
      </c>
      <c r="I11" t="s">
        <v>31</v>
      </c>
    </row>
    <row r="12" spans="2:51" x14ac:dyDescent="0.25">
      <c r="B12" s="114" t="s">
        <v>25</v>
      </c>
      <c r="C12" s="115"/>
      <c r="D12" s="75">
        <v>7</v>
      </c>
      <c r="E12" s="7" t="s">
        <v>2</v>
      </c>
      <c r="F12" s="8" t="s">
        <v>3</v>
      </c>
      <c r="H12" s="3" t="s">
        <v>31</v>
      </c>
      <c r="N12" t="s">
        <v>31</v>
      </c>
    </row>
    <row r="13" spans="2:51" ht="15.75" thickBot="1" x14ac:dyDescent="0.3">
      <c r="B13" s="132" t="s">
        <v>1</v>
      </c>
      <c r="C13" s="133"/>
      <c r="D13" s="76">
        <v>10</v>
      </c>
      <c r="E13" s="4">
        <f>(D23/((D12*1000*D11*1000*3^0.5)/1000))*(COS(ATAN(D13)))</f>
        <v>1.6632474926740473E-3</v>
      </c>
      <c r="F13" s="5">
        <f>(D23/((D12*1000*D11*1000*3^0.5)/1000))*(SIN(ATAN(D13)))</f>
        <v>1.6632474926740491E-2</v>
      </c>
      <c r="H13" s="3" t="s">
        <v>31</v>
      </c>
    </row>
    <row r="14" spans="2:51" ht="19.5" thickBot="1" x14ac:dyDescent="0.35">
      <c r="B14" s="128" t="s">
        <v>23</v>
      </c>
      <c r="C14" s="129"/>
      <c r="D14" s="129"/>
      <c r="E14" s="129"/>
      <c r="F14" s="130"/>
      <c r="G14" s="10"/>
      <c r="H14" s="3" t="s">
        <v>31</v>
      </c>
    </row>
    <row r="15" spans="2:51" ht="15.75" thickBot="1" x14ac:dyDescent="0.3">
      <c r="B15" s="112" t="s">
        <v>0</v>
      </c>
      <c r="C15" s="113"/>
      <c r="D15" s="74">
        <v>30</v>
      </c>
      <c r="E15" s="134" t="s">
        <v>7</v>
      </c>
      <c r="F15" s="135"/>
      <c r="H15" s="3" t="s">
        <v>31</v>
      </c>
    </row>
    <row r="16" spans="2:51" x14ac:dyDescent="0.25">
      <c r="B16" s="114" t="s">
        <v>26</v>
      </c>
      <c r="C16" s="115"/>
      <c r="D16" s="75">
        <v>7.5</v>
      </c>
      <c r="E16" s="14" t="s">
        <v>2</v>
      </c>
      <c r="F16" s="15" t="s">
        <v>3</v>
      </c>
      <c r="H16" s="3" t="s">
        <v>31</v>
      </c>
      <c r="K16" s="37"/>
    </row>
    <row r="17" spans="2:15" ht="15.75" thickBot="1" x14ac:dyDescent="0.3">
      <c r="B17" s="132" t="s">
        <v>1</v>
      </c>
      <c r="C17" s="133"/>
      <c r="D17" s="76">
        <v>24</v>
      </c>
      <c r="E17" s="16">
        <f>(D23/(D15*1000))*(D16/100)*(COS(ATAN(D17)))</f>
        <v>5.2731283512052292E-4</v>
      </c>
      <c r="F17" s="17">
        <f>(D23/(D15*1000))*(D16/100)*(SIN(ATAN(D17)))</f>
        <v>1.2655508042892546E-2</v>
      </c>
      <c r="H17" s="3" t="s">
        <v>31</v>
      </c>
      <c r="J17" s="35"/>
    </row>
    <row r="18" spans="2:15" ht="19.5" thickBot="1" x14ac:dyDescent="0.35">
      <c r="B18" s="128" t="s">
        <v>8</v>
      </c>
      <c r="C18" s="129"/>
      <c r="D18" s="129"/>
      <c r="E18" s="129"/>
      <c r="F18" s="130"/>
      <c r="G18" s="10"/>
      <c r="H18" s="3" t="s">
        <v>31</v>
      </c>
      <c r="I18" t="s">
        <v>31</v>
      </c>
      <c r="L18" s="36"/>
    </row>
    <row r="19" spans="2:15" x14ac:dyDescent="0.25">
      <c r="B19" s="112" t="s">
        <v>27</v>
      </c>
      <c r="C19" s="113"/>
      <c r="D19" s="74">
        <v>4</v>
      </c>
      <c r="E19" s="106" t="s">
        <v>7</v>
      </c>
      <c r="F19" s="107"/>
      <c r="H19" s="3" t="s">
        <v>31</v>
      </c>
      <c r="I19" t="s">
        <v>31</v>
      </c>
      <c r="L19" s="36"/>
    </row>
    <row r="20" spans="2:15" x14ac:dyDescent="0.25">
      <c r="B20" s="114" t="s">
        <v>28</v>
      </c>
      <c r="C20" s="115"/>
      <c r="D20" s="75">
        <v>731.3</v>
      </c>
      <c r="E20" s="108"/>
      <c r="F20" s="109"/>
      <c r="H20" s="3" t="s">
        <v>31</v>
      </c>
      <c r="L20" s="36"/>
    </row>
    <row r="21" spans="2:15" ht="15" customHeight="1" thickBot="1" x14ac:dyDescent="0.3">
      <c r="B21" s="114" t="s">
        <v>29</v>
      </c>
      <c r="C21" s="115"/>
      <c r="D21" s="75">
        <v>650</v>
      </c>
      <c r="E21" s="110"/>
      <c r="F21" s="111"/>
      <c r="H21" s="3" t="s">
        <v>31</v>
      </c>
      <c r="K21" s="38"/>
      <c r="L21" s="36"/>
    </row>
    <row r="22" spans="2:15" ht="18" customHeight="1" x14ac:dyDescent="0.25">
      <c r="B22" s="114" t="s">
        <v>30</v>
      </c>
      <c r="C22" s="115"/>
      <c r="D22" s="83">
        <v>20</v>
      </c>
      <c r="E22" s="84" t="s">
        <v>2</v>
      </c>
      <c r="F22" s="85" t="s">
        <v>3</v>
      </c>
      <c r="H22" s="3" t="s">
        <v>31</v>
      </c>
      <c r="I22" t="s">
        <v>31</v>
      </c>
      <c r="K22" s="38"/>
    </row>
    <row r="23" spans="2:15" ht="20.25" customHeight="1" thickBot="1" x14ac:dyDescent="0.3">
      <c r="B23" s="114" t="s">
        <v>4</v>
      </c>
      <c r="C23" s="115"/>
      <c r="D23" s="86">
        <f>((D19*1000*D20)*1.732051)/1000</f>
        <v>5066.5955851999997</v>
      </c>
      <c r="E23" s="87">
        <f>(1/(D21/100))*(D22/100)</f>
        <v>3.0769230769230771E-2</v>
      </c>
      <c r="F23" s="19">
        <f>(1/(D21/100))*SIN(ACOS(D22/100))</f>
        <v>0.15073783032511864</v>
      </c>
      <c r="H23" s="3" t="s">
        <v>31</v>
      </c>
    </row>
    <row r="24" spans="2:15" ht="19.5" thickBot="1" x14ac:dyDescent="0.35">
      <c r="B24" s="128" t="s">
        <v>22</v>
      </c>
      <c r="C24" s="129"/>
      <c r="D24" s="129"/>
      <c r="E24" s="129"/>
      <c r="F24" s="130"/>
      <c r="G24" s="126" t="s">
        <v>5</v>
      </c>
      <c r="H24" s="127"/>
      <c r="K24" s="59"/>
    </row>
    <row r="25" spans="2:15" ht="15" customHeight="1" x14ac:dyDescent="0.25">
      <c r="B25" s="119" t="s">
        <v>32</v>
      </c>
      <c r="C25" s="120"/>
      <c r="D25" s="77">
        <v>4.16</v>
      </c>
      <c r="E25" s="22" t="s">
        <v>2</v>
      </c>
      <c r="F25" s="21" t="s">
        <v>3</v>
      </c>
      <c r="G25" s="7" t="s">
        <v>2</v>
      </c>
      <c r="H25" s="8" t="s">
        <v>3</v>
      </c>
    </row>
    <row r="26" spans="2:15" ht="30.75" customHeight="1" thickBot="1" x14ac:dyDescent="0.3">
      <c r="B26" s="121" t="s">
        <v>33</v>
      </c>
      <c r="C26" s="122"/>
      <c r="D26" s="78">
        <v>24</v>
      </c>
      <c r="E26" s="18">
        <v>0</v>
      </c>
      <c r="F26" s="19">
        <f>-(D23/(D26*1000))/((D19*D19)/(D25*D25))</f>
        <v>-0.22833457437301335</v>
      </c>
      <c r="G26" s="24">
        <f xml:space="preserve"> IMREAL(IMDIV(1,IMSUM(IMDIV(1,COMPLEX(E23,F23)),IMDIV(1,COMPLEX(E26,F26)))))</f>
        <v>0.23022465773768899</v>
      </c>
      <c r="H26" s="25">
        <f>IMAGINARY(IMDIV(1,IMSUM(IMDIV(1,COMPLEX(E23,F23)),IMDIV(1,COMPLEX(E26,F26)))))</f>
        <v>0.35226765042651498</v>
      </c>
      <c r="I26" t="s">
        <v>31</v>
      </c>
      <c r="J26" s="23"/>
      <c r="K26" s="23"/>
      <c r="L26" s="23"/>
      <c r="M26" s="23"/>
      <c r="N26" s="23"/>
      <c r="O26" s="23"/>
    </row>
    <row r="27" spans="2:15" ht="30" customHeight="1" thickBot="1" x14ac:dyDescent="0.3">
      <c r="B27" s="101" t="s">
        <v>19</v>
      </c>
      <c r="C27" s="102"/>
      <c r="D27" s="102"/>
      <c r="E27" s="102"/>
      <c r="F27" s="102"/>
      <c r="G27" s="102"/>
      <c r="H27" s="103"/>
      <c r="I27" t="s">
        <v>31</v>
      </c>
      <c r="J27" s="23"/>
      <c r="K27" s="23"/>
      <c r="L27" s="23"/>
      <c r="M27" s="23"/>
      <c r="N27" s="23"/>
      <c r="O27" s="23"/>
    </row>
    <row r="28" spans="2:15" ht="21" customHeight="1" x14ac:dyDescent="0.25">
      <c r="B28" s="11"/>
      <c r="C28" s="116" t="s">
        <v>15</v>
      </c>
      <c r="D28" s="116"/>
      <c r="E28" s="116" t="s">
        <v>14</v>
      </c>
      <c r="F28" s="116"/>
      <c r="G28" s="117" t="s">
        <v>16</v>
      </c>
      <c r="H28" s="123" t="s">
        <v>6</v>
      </c>
    </row>
    <row r="29" spans="2:15" ht="45" customHeight="1" x14ac:dyDescent="0.25">
      <c r="B29" s="12"/>
      <c r="C29" s="6" t="s">
        <v>18</v>
      </c>
      <c r="D29" s="6" t="s">
        <v>17</v>
      </c>
      <c r="E29" s="6" t="s">
        <v>18</v>
      </c>
      <c r="F29" s="6" t="s">
        <v>17</v>
      </c>
      <c r="G29" s="118"/>
      <c r="H29" s="124"/>
      <c r="K29" s="95"/>
    </row>
    <row r="30" spans="2:15" ht="20.25" customHeight="1" thickBot="1" x14ac:dyDescent="0.3">
      <c r="B30" s="1" t="s">
        <v>20</v>
      </c>
      <c r="C30" s="2">
        <f>100-D30</f>
        <v>15.939398185723022</v>
      </c>
      <c r="D30" s="96">
        <f>100*IMABS(IMPRODUCT(IMDIV(COMPLEX(1,0),IMSUM(COMPLEX(E13,F13),COMPLEX(E17,F17),COMPLEX(E23,F23))),COMPLEX(E23,F23)))</f>
        <v>84.060601814276978</v>
      </c>
      <c r="E30" s="2">
        <f>100-F30</f>
        <v>9.1332094191369038</v>
      </c>
      <c r="F30" s="2">
        <f>100-100*IMABS(IMDIV(COMPLEX(E13,F13),IMSUM(COMPLEX(E13,F13),COMPLEX(E17,F17),COMPLEX(E23,F23))))</f>
        <v>90.866790580863096</v>
      </c>
      <c r="G30" s="9">
        <f>100-((D30/100)^2)*100</f>
        <v>29.33815222621574</v>
      </c>
      <c r="H30" s="125"/>
    </row>
    <row r="31" spans="2:15" ht="20.25" customHeight="1" thickBot="1" x14ac:dyDescent="0.3">
      <c r="B31" s="13" t="s">
        <v>21</v>
      </c>
      <c r="C31" s="34">
        <f>100-D31</f>
        <v>5.8062030892106264</v>
      </c>
      <c r="D31" s="26">
        <f>IMABS(IMSUB(1,IMPRODUCT(IMDIV(1,IMSUM(COMPLEX(G26,H26),COMPLEX(E17,F17),COMPLEX(E13,F13))),IMSUM(COMPLEX(E13,F13),COMPLEX(E17,F17)))))*100</f>
        <v>94.193796910789374</v>
      </c>
      <c r="E31" s="26">
        <f>100-F31</f>
        <v>3.3595516879249345</v>
      </c>
      <c r="F31" s="26">
        <f>100*IMABS(IMSUB(1,IMPRODUCT(IMSUM(COMPLEX(E13,F13)),IMDIV(1,IMSUM(COMPLEX(G26,H26),COMPLEX(E17,F17),COMPLEX(E13,F13))))))</f>
        <v>96.640448312075065</v>
      </c>
      <c r="G31" s="27">
        <f>100-((D31/100)^2)*100</f>
        <v>11.275286235289656</v>
      </c>
      <c r="H31" s="20">
        <f>G30-G31</f>
        <v>18.062865990926085</v>
      </c>
      <c r="K31" s="95"/>
    </row>
    <row r="32" spans="2:15" ht="19.5" thickBot="1" x14ac:dyDescent="0.3">
      <c r="B32" s="101" t="s">
        <v>38</v>
      </c>
      <c r="C32" s="102"/>
      <c r="D32" s="102"/>
      <c r="E32" s="102"/>
      <c r="F32" s="102"/>
      <c r="G32" s="102"/>
      <c r="H32" s="103"/>
    </row>
    <row r="33" spans="2:8" x14ac:dyDescent="0.25">
      <c r="B33" s="32" t="s">
        <v>34</v>
      </c>
      <c r="C33" s="30">
        <f>IMABS(IMDIV(1,IMSUM(COMPLEX(E13,F13),COMPLEX(E17,F17),COMPLEX(G26,H26))))*D20</f>
        <v>1636.8679114954077</v>
      </c>
      <c r="D33" s="28" t="s">
        <v>36</v>
      </c>
      <c r="E33" s="31">
        <f>C33/D20</f>
        <v>2.2382987987083385</v>
      </c>
      <c r="F33" s="104" t="s">
        <v>37</v>
      </c>
      <c r="G33" s="104"/>
      <c r="H33" s="29"/>
    </row>
    <row r="34" spans="2:8" x14ac:dyDescent="0.25">
      <c r="B34" s="33" t="s">
        <v>35</v>
      </c>
      <c r="C34" s="40">
        <f>E34*D20</f>
        <v>3995.778676940738</v>
      </c>
      <c r="D34" s="41" t="s">
        <v>36</v>
      </c>
      <c r="E34" s="42">
        <f>IMABS(IMDIV(D30/100,COMPLEX(E23,F23)))</f>
        <v>5.463939117927989</v>
      </c>
      <c r="F34" s="105" t="s">
        <v>37</v>
      </c>
      <c r="G34" s="105"/>
      <c r="H34" s="43"/>
    </row>
    <row r="35" spans="2:8" ht="18.75" customHeight="1" x14ac:dyDescent="0.25">
      <c r="B35" s="98" t="str">
        <f>IF(H26&lt;0,"System is overcompensated -  actiVAR is correcting for voltage drop associated with real power flow  "," ")</f>
        <v xml:space="preserve"> </v>
      </c>
      <c r="C35" s="99"/>
      <c r="D35" s="99"/>
      <c r="E35" s="99"/>
      <c r="F35" s="99"/>
      <c r="G35" s="99"/>
      <c r="H35" s="100"/>
    </row>
    <row r="36" spans="2:8" ht="8.25" customHeight="1" x14ac:dyDescent="0.25">
      <c r="B36" s="39"/>
      <c r="C36" s="39"/>
      <c r="D36" s="39"/>
      <c r="E36" s="39"/>
      <c r="F36" s="39"/>
      <c r="G36" s="39"/>
      <c r="H36" s="39"/>
    </row>
    <row r="37" spans="2:8" x14ac:dyDescent="0.25">
      <c r="B37" t="s">
        <v>63</v>
      </c>
      <c r="D37" s="64"/>
    </row>
    <row r="38" spans="2:8" x14ac:dyDescent="0.25">
      <c r="B38" t="s">
        <v>31</v>
      </c>
    </row>
    <row r="39" spans="2:8" x14ac:dyDescent="0.25">
      <c r="B39" s="44" t="s">
        <v>58</v>
      </c>
      <c r="C39" s="66">
        <v>5.98</v>
      </c>
    </row>
    <row r="40" spans="2:8" x14ac:dyDescent="0.25">
      <c r="B40" s="44" t="s">
        <v>57</v>
      </c>
      <c r="C40" s="66">
        <v>5500</v>
      </c>
    </row>
    <row r="41" spans="2:8" x14ac:dyDescent="0.25">
      <c r="B41" s="44" t="s">
        <v>59</v>
      </c>
      <c r="C41" s="66">
        <v>4</v>
      </c>
    </row>
    <row r="42" spans="2:8" x14ac:dyDescent="0.25">
      <c r="B42" s="44" t="s">
        <v>61</v>
      </c>
      <c r="C42" s="88">
        <v>731.3</v>
      </c>
    </row>
    <row r="44" spans="2:8" x14ac:dyDescent="0.25">
      <c r="B44" s="44" t="s">
        <v>60</v>
      </c>
      <c r="C44" s="79">
        <f>C39*C40/(1.73*C41)</f>
        <v>4752.8901734104047</v>
      </c>
      <c r="D44" t="s">
        <v>36</v>
      </c>
    </row>
    <row r="45" spans="2:8" x14ac:dyDescent="0.25">
      <c r="B45" s="44" t="s">
        <v>62</v>
      </c>
      <c r="C45" s="80">
        <f>C44/C42</f>
        <v>6.4992344775200399</v>
      </c>
    </row>
    <row r="47" spans="2:8" x14ac:dyDescent="0.25">
      <c r="B47" s="97" t="str">
        <f>"The actiVAR reduces the inrush current from "&amp;ROUND(C34,1)&amp;" amps ("&amp;ROUND(E34,1)&amp;" Per Unit Current) to "&amp;ROUND(C33,1)&amp;" amps ("&amp;ROUND(E33,1)&amp;" Per Unit Current). The actiVAR decreases the voltage sag at the motor from "&amp;ROUND(D30,1)&amp;"% to "&amp;ROUND(D31,1)&amp;"%. The "&amp;ROUND(D11,1)&amp;"kV primary voltage sag is reduced from "&amp;ROUND(F30,1)&amp;"% to "&amp;ROUND(F31,1)&amp;"%."</f>
        <v>The actiVAR reduces the inrush current from 3995.8 amps (5.5 Per Unit Current) to 1636.9 amps (2.2 Per Unit Current). The actiVAR decreases the voltage sag at the motor from 84.1% to 94.2%. The 25kV primary voltage sag is reduced from 90.9% to 96.6%.</v>
      </c>
      <c r="C47" s="97"/>
      <c r="D47" s="97"/>
    </row>
    <row r="48" spans="2:8" x14ac:dyDescent="0.25">
      <c r="B48" s="97"/>
      <c r="C48" s="97"/>
      <c r="D48" s="97"/>
    </row>
    <row r="49" spans="2:4" x14ac:dyDescent="0.25">
      <c r="B49" s="97"/>
      <c r="C49" s="97"/>
      <c r="D49" s="97"/>
    </row>
    <row r="50" spans="2:4" x14ac:dyDescent="0.25">
      <c r="B50" s="97"/>
      <c r="C50" s="97"/>
      <c r="D50" s="97"/>
    </row>
    <row r="51" spans="2:4" x14ac:dyDescent="0.25">
      <c r="B51" s="97"/>
      <c r="C51" s="97"/>
      <c r="D51" s="97"/>
    </row>
    <row r="52" spans="2:4" x14ac:dyDescent="0.25">
      <c r="B52" s="97"/>
      <c r="C52" s="97"/>
      <c r="D52" s="97"/>
    </row>
  </sheetData>
  <sheetProtection algorithmName="SHA-512" hashValue="AmIGG65+p91qjUdwZBbMbvC6QKYcxWTcRak0KhLA0PaNtdHIiBJGJS9Y8yFZnk5S4RS1CuXf/bnHFmj+V34Biw==" saltValue="GTc4aYs5QevyXH6NbVzdtA==" spinCount="100000" sheet="1" objects="1" scenarios="1"/>
  <mergeCells count="32">
    <mergeCell ref="H28:H30"/>
    <mergeCell ref="B27:H27"/>
    <mergeCell ref="G24:H24"/>
    <mergeCell ref="B24:F24"/>
    <mergeCell ref="B10:F10"/>
    <mergeCell ref="B14:F14"/>
    <mergeCell ref="B18:F18"/>
    <mergeCell ref="H10:I10"/>
    <mergeCell ref="B11:C11"/>
    <mergeCell ref="B12:C12"/>
    <mergeCell ref="B13:C13"/>
    <mergeCell ref="B15:C15"/>
    <mergeCell ref="B16:C16"/>
    <mergeCell ref="B17:C17"/>
    <mergeCell ref="E11:F11"/>
    <mergeCell ref="E15:F15"/>
    <mergeCell ref="B23:C23"/>
    <mergeCell ref="C28:D28"/>
    <mergeCell ref="E28:F28"/>
    <mergeCell ref="G28:G29"/>
    <mergeCell ref="B25:C25"/>
    <mergeCell ref="B26:C26"/>
    <mergeCell ref="E19:F21"/>
    <mergeCell ref="B19:C19"/>
    <mergeCell ref="B20:C20"/>
    <mergeCell ref="B21:C21"/>
    <mergeCell ref="B22:C22"/>
    <mergeCell ref="B47:D52"/>
    <mergeCell ref="B35:H35"/>
    <mergeCell ref="B32:H32"/>
    <mergeCell ref="F33:G33"/>
    <mergeCell ref="F34:G34"/>
  </mergeCells>
  <pageMargins left="0.7" right="0.7" top="0" bottom="0" header="0" footer="0"/>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Y57"/>
  <sheetViews>
    <sheetView zoomScale="115" zoomScaleNormal="115" workbookViewId="0">
      <selection activeCell="C39" sqref="C39"/>
    </sheetView>
  </sheetViews>
  <sheetFormatPr defaultColWidth="9.140625" defaultRowHeight="15" x14ac:dyDescent="0.25"/>
  <cols>
    <col min="1" max="1" width="2.85546875" customWidth="1"/>
    <col min="2" max="2" width="19.5703125" customWidth="1"/>
    <col min="3" max="3" width="2.5703125" customWidth="1"/>
    <col min="4" max="4" width="12.28515625" style="59" customWidth="1"/>
    <col min="5" max="5" width="1.85546875" customWidth="1"/>
    <col min="6" max="6" width="13.28515625" style="59" customWidth="1"/>
    <col min="7" max="7" width="2.140625" customWidth="1"/>
    <col min="8" max="8" width="11.140625" customWidth="1"/>
    <col min="9" max="9" width="2.5703125" customWidth="1"/>
    <col min="10" max="10" width="23.140625" customWidth="1"/>
    <col min="11" max="11" width="2.85546875" customWidth="1"/>
    <col min="12" max="12" width="21.42578125" customWidth="1"/>
    <col min="16" max="16" width="57.7109375" customWidth="1"/>
  </cols>
  <sheetData>
    <row r="1" spans="2:51" x14ac:dyDescent="0.25">
      <c r="D1"/>
      <c r="F1"/>
      <c r="AS1" s="59"/>
      <c r="AU1" s="59"/>
      <c r="AW1" s="59"/>
      <c r="AY1" s="59"/>
    </row>
    <row r="2" spans="2:51" x14ac:dyDescent="0.25">
      <c r="D2"/>
      <c r="F2"/>
      <c r="AO2" s="59"/>
      <c r="AP2" s="59"/>
      <c r="AQ2" s="59"/>
      <c r="AR2" s="59"/>
      <c r="AS2" s="59"/>
      <c r="AU2" s="59"/>
      <c r="AV2" s="59"/>
    </row>
    <row r="3" spans="2:51" ht="26.25" x14ac:dyDescent="0.4">
      <c r="B3" s="72" t="s">
        <v>53</v>
      </c>
      <c r="C3" s="68"/>
      <c r="D3" s="68"/>
      <c r="E3" s="68"/>
      <c r="F3" s="68"/>
      <c r="G3" s="68"/>
      <c r="H3" s="68"/>
      <c r="I3" s="68"/>
      <c r="J3" s="68"/>
      <c r="K3" s="68"/>
      <c r="L3" s="68"/>
      <c r="AP3" s="36"/>
      <c r="AQ3" s="67"/>
      <c r="AR3" s="67"/>
      <c r="AS3" s="63"/>
    </row>
    <row r="4" spans="2:51" ht="21" x14ac:dyDescent="0.35">
      <c r="B4" s="65" t="s">
        <v>54</v>
      </c>
      <c r="C4" s="65"/>
      <c r="D4" s="69" t="s">
        <v>55</v>
      </c>
      <c r="E4" s="65"/>
      <c r="F4" s="65"/>
      <c r="G4" s="65"/>
      <c r="H4" s="65"/>
      <c r="I4" s="65"/>
      <c r="J4" s="65"/>
      <c r="K4" s="70"/>
      <c r="L4" s="70"/>
      <c r="AP4" s="36"/>
      <c r="AQ4" s="67"/>
      <c r="AR4" s="67"/>
      <c r="AS4" s="63"/>
    </row>
    <row r="7" spans="2:51" ht="18.75" x14ac:dyDescent="0.3">
      <c r="B7" s="136" t="s">
        <v>67</v>
      </c>
      <c r="C7" s="136"/>
      <c r="D7" s="136"/>
      <c r="E7" s="136"/>
      <c r="F7" s="136"/>
      <c r="G7" s="136"/>
      <c r="H7" s="136"/>
      <c r="I7" s="136"/>
      <c r="J7" s="136"/>
      <c r="K7" s="136"/>
      <c r="L7" s="136"/>
    </row>
    <row r="10" spans="2:51" x14ac:dyDescent="0.25">
      <c r="D10" s="44" t="s">
        <v>40</v>
      </c>
      <c r="F10" s="73">
        <f>'actiVAR Motor Start Calculation'!D25</f>
        <v>4.16</v>
      </c>
      <c r="H10" t="s">
        <v>41</v>
      </c>
    </row>
    <row r="11" spans="2:51" x14ac:dyDescent="0.25">
      <c r="D11" s="44" t="s">
        <v>42</v>
      </c>
      <c r="F11" s="59">
        <f>1000*'actiVAR Motor Start Calculation'!D26</f>
        <v>24000</v>
      </c>
      <c r="H11" t="s">
        <v>43</v>
      </c>
    </row>
    <row r="12" spans="2:51" x14ac:dyDescent="0.25">
      <c r="D12" s="44" t="s">
        <v>52</v>
      </c>
      <c r="F12" s="63">
        <f>0.001*('actiVAR Motor Start Calculation'!D23/IMABS(IMSUM(COMPLEX('actiVAR Motor Start Calculation'!E13,'actiVAR Motor Start Calculation'!F13),COMPLEX('actiVAR Motor Start Calculation'!E17,'actiVAR Motor Start Calculation'!F17))))</f>
        <v>172.51045282160402</v>
      </c>
      <c r="H12" t="s">
        <v>44</v>
      </c>
      <c r="P12" t="s">
        <v>31</v>
      </c>
    </row>
    <row r="13" spans="2:51" x14ac:dyDescent="0.25">
      <c r="B13" s="41"/>
      <c r="C13" s="41"/>
      <c r="D13" s="45"/>
      <c r="E13" s="41"/>
      <c r="F13" s="45"/>
      <c r="G13" s="41"/>
      <c r="H13" s="41"/>
      <c r="I13" s="41"/>
      <c r="J13" s="41"/>
      <c r="K13" s="41"/>
      <c r="L13" s="41"/>
      <c r="M13" s="41"/>
      <c r="N13" s="41"/>
      <c r="P13" t="s">
        <v>31</v>
      </c>
    </row>
    <row r="14" spans="2:51" ht="30" x14ac:dyDescent="0.25">
      <c r="B14" s="46" t="s">
        <v>39</v>
      </c>
      <c r="C14" s="46"/>
      <c r="D14" s="46" t="s">
        <v>45</v>
      </c>
      <c r="E14" s="47"/>
      <c r="F14" s="46" t="s">
        <v>46</v>
      </c>
      <c r="G14" s="47"/>
      <c r="H14" s="48" t="s">
        <v>47</v>
      </c>
      <c r="I14" s="49"/>
      <c r="J14" s="46" t="s">
        <v>74</v>
      </c>
      <c r="K14" s="49"/>
      <c r="L14" s="46" t="s">
        <v>48</v>
      </c>
      <c r="M14" s="41"/>
      <c r="N14" s="41"/>
    </row>
    <row r="15" spans="2:51" x14ac:dyDescent="0.25">
      <c r="B15" s="89">
        <v>1</v>
      </c>
      <c r="C15" s="90"/>
      <c r="D15" s="91">
        <v>1</v>
      </c>
      <c r="E15" s="90"/>
      <c r="F15" s="89">
        <v>1</v>
      </c>
      <c r="G15" s="90"/>
      <c r="H15" s="91">
        <f>$F$11/B15</f>
        <v>24000</v>
      </c>
      <c r="I15" s="92"/>
      <c r="J15" s="93">
        <f>(H15/(F10*1.73))</f>
        <v>3334.815473543797</v>
      </c>
      <c r="K15" s="92"/>
      <c r="L15" s="94" t="str">
        <f t="shared" ref="L15:L22" si="0">"± "&amp;ROUND((((100*H15/1000)/($F$12))/2),2)&amp;"%"</f>
        <v>± 6.96%</v>
      </c>
    </row>
    <row r="16" spans="2:51" x14ac:dyDescent="0.25">
      <c r="B16" s="50">
        <v>2</v>
      </c>
      <c r="C16" s="51"/>
      <c r="D16" s="52">
        <v>2</v>
      </c>
      <c r="E16" s="51"/>
      <c r="F16" s="53" t="s">
        <v>49</v>
      </c>
      <c r="G16" s="51"/>
      <c r="H16" s="52">
        <f t="shared" ref="H16:H22" si="1">$F$11/B16</f>
        <v>12000</v>
      </c>
      <c r="I16" s="54"/>
      <c r="J16" s="55">
        <f>H16/(F10*1.73)</f>
        <v>1667.4077367718985</v>
      </c>
      <c r="K16" s="54"/>
      <c r="L16" s="56" t="str">
        <f t="shared" si="0"/>
        <v>± 3.48%</v>
      </c>
    </row>
    <row r="17" spans="2:16" x14ac:dyDescent="0.25">
      <c r="B17" s="50">
        <v>3</v>
      </c>
      <c r="C17" s="51"/>
      <c r="D17" s="52">
        <v>3</v>
      </c>
      <c r="E17" s="51"/>
      <c r="F17" s="57" t="s">
        <v>50</v>
      </c>
      <c r="G17" s="51"/>
      <c r="H17" s="52">
        <f t="shared" si="1"/>
        <v>8000</v>
      </c>
      <c r="I17" s="54"/>
      <c r="J17" s="55">
        <f>H17/(F10*1.73)</f>
        <v>1111.6051578479323</v>
      </c>
      <c r="K17" s="54"/>
      <c r="L17" s="56" t="str">
        <f t="shared" si="0"/>
        <v>± 2.32%</v>
      </c>
      <c r="P17" s="62"/>
    </row>
    <row r="18" spans="2:16" x14ac:dyDescent="0.25">
      <c r="B18" s="50">
        <v>4</v>
      </c>
      <c r="C18" s="51"/>
      <c r="D18" s="52">
        <v>4</v>
      </c>
      <c r="E18" s="51"/>
      <c r="F18" s="50" t="s">
        <v>51</v>
      </c>
      <c r="G18" s="51"/>
      <c r="H18" s="52">
        <f t="shared" si="1"/>
        <v>6000</v>
      </c>
      <c r="I18" s="54"/>
      <c r="J18" s="55">
        <f>H18/($F$10*1.73)</f>
        <v>833.70386838594925</v>
      </c>
      <c r="K18" s="54"/>
      <c r="L18" s="56" t="str">
        <f t="shared" si="0"/>
        <v>± 1.74%</v>
      </c>
    </row>
    <row r="19" spans="2:16" x14ac:dyDescent="0.25">
      <c r="B19" s="50">
        <v>5</v>
      </c>
      <c r="C19" s="51"/>
      <c r="D19" s="52">
        <v>5</v>
      </c>
      <c r="E19" s="51"/>
      <c r="F19" s="50" t="s">
        <v>69</v>
      </c>
      <c r="G19" s="51"/>
      <c r="H19" s="52">
        <f t="shared" si="1"/>
        <v>4800</v>
      </c>
      <c r="I19" s="54"/>
      <c r="J19" s="55">
        <f t="shared" ref="J19:J22" si="2">H19/($F$10*1.73)</f>
        <v>666.9630947087594</v>
      </c>
      <c r="K19" s="54"/>
      <c r="L19" s="56" t="str">
        <f t="shared" si="0"/>
        <v>± 1.39%</v>
      </c>
    </row>
    <row r="20" spans="2:16" x14ac:dyDescent="0.25">
      <c r="B20" s="50">
        <v>6</v>
      </c>
      <c r="C20" s="51"/>
      <c r="D20" s="52">
        <v>6</v>
      </c>
      <c r="E20" s="51"/>
      <c r="F20" s="50" t="s">
        <v>70</v>
      </c>
      <c r="G20" s="51"/>
      <c r="H20" s="52">
        <f t="shared" si="1"/>
        <v>4000</v>
      </c>
      <c r="I20" s="54"/>
      <c r="J20" s="55">
        <f t="shared" si="2"/>
        <v>555.80257892396617</v>
      </c>
      <c r="K20" s="54"/>
      <c r="L20" s="56" t="str">
        <f t="shared" si="0"/>
        <v>± 1.16%</v>
      </c>
    </row>
    <row r="21" spans="2:16" x14ac:dyDescent="0.25">
      <c r="B21" s="50">
        <v>7</v>
      </c>
      <c r="C21" s="51"/>
      <c r="D21" s="52">
        <v>7</v>
      </c>
      <c r="E21" s="51"/>
      <c r="F21" s="50" t="s">
        <v>71</v>
      </c>
      <c r="G21" s="51"/>
      <c r="H21" s="52">
        <f t="shared" si="1"/>
        <v>3428.5714285714284</v>
      </c>
      <c r="I21" s="54"/>
      <c r="J21" s="55">
        <f t="shared" si="2"/>
        <v>476.40221050625672</v>
      </c>
      <c r="K21" s="54"/>
      <c r="L21" s="56" t="str">
        <f t="shared" si="0"/>
        <v>± 0.99%</v>
      </c>
    </row>
    <row r="22" spans="2:16" x14ac:dyDescent="0.25">
      <c r="B22" s="50">
        <v>8</v>
      </c>
      <c r="C22" s="51"/>
      <c r="D22" s="52">
        <v>8</v>
      </c>
      <c r="E22" s="51"/>
      <c r="F22" s="50" t="s">
        <v>72</v>
      </c>
      <c r="G22" s="51"/>
      <c r="H22" s="52">
        <f t="shared" si="1"/>
        <v>3000</v>
      </c>
      <c r="I22" s="54"/>
      <c r="J22" s="55">
        <f t="shared" si="2"/>
        <v>416.85193419297462</v>
      </c>
      <c r="K22" s="54"/>
      <c r="L22" s="56" t="str">
        <f t="shared" si="0"/>
        <v>± 0.87%</v>
      </c>
    </row>
    <row r="23" spans="2:16" x14ac:dyDescent="0.25">
      <c r="D23" s="58" t="s">
        <v>31</v>
      </c>
      <c r="H23" s="58"/>
    </row>
    <row r="24" spans="2:16" x14ac:dyDescent="0.25">
      <c r="B24" t="s">
        <v>68</v>
      </c>
      <c r="D24" s="58"/>
      <c r="H24" s="58"/>
    </row>
    <row r="25" spans="2:16" x14ac:dyDescent="0.25">
      <c r="B25" s="60"/>
      <c r="D25" s="61"/>
      <c r="H25" s="58"/>
    </row>
    <row r="26" spans="2:16" x14ac:dyDescent="0.25">
      <c r="D26" s="58" t="s">
        <v>31</v>
      </c>
      <c r="H26" s="58"/>
    </row>
    <row r="27" spans="2:16" x14ac:dyDescent="0.25">
      <c r="D27" s="58" t="s">
        <v>31</v>
      </c>
      <c r="H27" s="58"/>
    </row>
    <row r="28" spans="2:16" x14ac:dyDescent="0.25">
      <c r="D28" s="58" t="s">
        <v>31</v>
      </c>
      <c r="H28" s="58"/>
    </row>
    <row r="29" spans="2:16" x14ac:dyDescent="0.25">
      <c r="D29" s="58" t="s">
        <v>31</v>
      </c>
      <c r="H29" s="58"/>
    </row>
    <row r="30" spans="2:16" x14ac:dyDescent="0.25">
      <c r="D30" s="58"/>
      <c r="H30" s="58"/>
    </row>
    <row r="31" spans="2:16" x14ac:dyDescent="0.25">
      <c r="D31" s="58"/>
      <c r="H31" s="58"/>
    </row>
    <row r="32" spans="2:16" x14ac:dyDescent="0.25">
      <c r="D32" s="58"/>
      <c r="H32" s="58"/>
    </row>
    <row r="33" spans="4:8" x14ac:dyDescent="0.25">
      <c r="D33" s="58"/>
      <c r="H33" s="58"/>
    </row>
    <row r="34" spans="4:8" x14ac:dyDescent="0.25">
      <c r="D34" s="58"/>
      <c r="H34" s="58"/>
    </row>
    <row r="35" spans="4:8" x14ac:dyDescent="0.25">
      <c r="D35" s="58"/>
      <c r="H35" s="58"/>
    </row>
    <row r="36" spans="4:8" x14ac:dyDescent="0.25">
      <c r="D36" s="58"/>
      <c r="H36" s="58"/>
    </row>
    <row r="37" spans="4:8" x14ac:dyDescent="0.25">
      <c r="D37" s="58"/>
    </row>
    <row r="38" spans="4:8" x14ac:dyDescent="0.25">
      <c r="D38" s="58"/>
    </row>
    <row r="39" spans="4:8" x14ac:dyDescent="0.25">
      <c r="D39" s="58"/>
    </row>
    <row r="40" spans="4:8" x14ac:dyDescent="0.25">
      <c r="D40" s="58"/>
    </row>
    <row r="41" spans="4:8" x14ac:dyDescent="0.25">
      <c r="D41" s="58"/>
    </row>
    <row r="42" spans="4:8" x14ac:dyDescent="0.25">
      <c r="D42" s="58"/>
    </row>
    <row r="43" spans="4:8" x14ac:dyDescent="0.25">
      <c r="D43" s="58"/>
    </row>
    <row r="44" spans="4:8" x14ac:dyDescent="0.25">
      <c r="D44" s="58"/>
    </row>
    <row r="45" spans="4:8" x14ac:dyDescent="0.25">
      <c r="D45" s="58"/>
    </row>
    <row r="46" spans="4:8" x14ac:dyDescent="0.25">
      <c r="D46" s="58"/>
    </row>
    <row r="47" spans="4:8" x14ac:dyDescent="0.25">
      <c r="D47" s="58"/>
    </row>
    <row r="48" spans="4:8" x14ac:dyDescent="0.25">
      <c r="D48" s="58"/>
    </row>
    <row r="49" spans="4:4" x14ac:dyDescent="0.25">
      <c r="D49" s="58"/>
    </row>
    <row r="50" spans="4:4" x14ac:dyDescent="0.25">
      <c r="D50" s="58"/>
    </row>
    <row r="51" spans="4:4" x14ac:dyDescent="0.25">
      <c r="D51" s="58"/>
    </row>
    <row r="52" spans="4:4" x14ac:dyDescent="0.25">
      <c r="D52" s="58"/>
    </row>
    <row r="53" spans="4:4" x14ac:dyDescent="0.25">
      <c r="D53" s="58"/>
    </row>
    <row r="54" spans="4:4" x14ac:dyDescent="0.25">
      <c r="D54" s="58"/>
    </row>
    <row r="55" spans="4:4" x14ac:dyDescent="0.25">
      <c r="D55" s="58"/>
    </row>
    <row r="56" spans="4:4" x14ac:dyDescent="0.25">
      <c r="D56" s="58"/>
    </row>
    <row r="57" spans="4:4" x14ac:dyDescent="0.25">
      <c r="D57" s="58"/>
    </row>
  </sheetData>
  <sheetProtection algorithmName="SHA-512" hashValue="EAo4Eoxm8Mk0YoVuEEo8Fz72NiBS4QSnYXvBiV0/fwuVrNYKgV30cCEHYmgTTCKOj/6+nKmF+68enybEpdpqfw==" saltValue="FTHpODDqL++YG7BPVbD1Gw==" spinCount="100000" sheet="1" objects="1" scenarios="1"/>
  <mergeCells count="1">
    <mergeCell ref="B7:L7"/>
  </mergeCells>
  <conditionalFormatting sqref="J15:J22">
    <cfRule type="cellIs" dxfId="0" priority="1" operator="greaterThan">
      <formula>444</formula>
    </cfRule>
  </conditionalFormatting>
  <pageMargins left="0.7" right="0.7" top="0" bottom="0" header="0" footer="0"/>
  <pageSetup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E3254-835F-447B-A6A3-3BE7AC80D5C4}">
  <dimension ref="D12:D27"/>
  <sheetViews>
    <sheetView workbookViewId="0">
      <selection activeCell="D27" sqref="D27"/>
    </sheetView>
  </sheetViews>
  <sheetFormatPr defaultRowHeight="15" x14ac:dyDescent="0.25"/>
  <sheetData>
    <row r="12" spans="4:4" x14ac:dyDescent="0.25">
      <c r="D12" t="s">
        <v>73</v>
      </c>
    </row>
    <row r="14" spans="4:4" x14ac:dyDescent="0.25">
      <c r="D14">
        <v>5000</v>
      </c>
    </row>
    <row r="15" spans="4:4" x14ac:dyDescent="0.25">
      <c r="D15">
        <v>5000</v>
      </c>
    </row>
    <row r="16" spans="4:4" x14ac:dyDescent="0.25">
      <c r="D16">
        <v>5000</v>
      </c>
    </row>
    <row r="17" spans="4:4" x14ac:dyDescent="0.25">
      <c r="D17">
        <v>5000</v>
      </c>
    </row>
    <row r="18" spans="4:4" x14ac:dyDescent="0.25">
      <c r="D18">
        <v>1500</v>
      </c>
    </row>
    <row r="19" spans="4:4" x14ac:dyDescent="0.25">
      <c r="D19">
        <v>1500</v>
      </c>
    </row>
    <row r="20" spans="4:4" x14ac:dyDescent="0.25">
      <c r="D20">
        <v>1500</v>
      </c>
    </row>
    <row r="21" spans="4:4" x14ac:dyDescent="0.25">
      <c r="D21">
        <v>1500</v>
      </c>
    </row>
    <row r="22" spans="4:4" x14ac:dyDescent="0.25">
      <c r="D22">
        <v>500</v>
      </c>
    </row>
    <row r="23" spans="4:4" x14ac:dyDescent="0.25">
      <c r="D23">
        <v>500</v>
      </c>
    </row>
    <row r="24" spans="4:4" x14ac:dyDescent="0.25">
      <c r="D24">
        <v>500</v>
      </c>
    </row>
    <row r="25" spans="4:4" x14ac:dyDescent="0.25">
      <c r="D25">
        <v>2000</v>
      </c>
    </row>
    <row r="26" spans="4:4" x14ac:dyDescent="0.25">
      <c r="D26">
        <v>2000</v>
      </c>
    </row>
    <row r="27" spans="4:4" x14ac:dyDescent="0.25">
      <c r="D27">
        <f>SUM(D14:D26)</f>
        <v>31500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workbookViewId="0"/>
  </sheetViews>
  <sheetFormatPr defaultRowHeight="15" x14ac:dyDescent="0.25"/>
  <sheetData>
    <row r="1" spans="1:5" x14ac:dyDescent="0.25">
      <c r="A1" t="s">
        <v>11</v>
      </c>
      <c r="B1" t="s">
        <v>12</v>
      </c>
      <c r="C1" t="s">
        <v>64</v>
      </c>
      <c r="D1" t="s">
        <v>13</v>
      </c>
      <c r="E1" t="s">
        <v>10</v>
      </c>
    </row>
    <row r="2" spans="1:5" x14ac:dyDescent="0.25">
      <c r="C2" t="s">
        <v>65</v>
      </c>
    </row>
    <row r="3" spans="1:5" x14ac:dyDescent="0.25">
      <c r="C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actiVAR Motor Start Calculation</vt:lpstr>
      <vt:lpstr>Voltage Resolution </vt:lpstr>
      <vt:lpstr>Sheet1</vt:lpstr>
      <vt:lpstr>'actiVAR Motor Start Calculation'!Print_Area</vt:lpstr>
      <vt:lpstr>'Voltage Resolution '!Print_Area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Steciuk</dc:creator>
  <cp:lastModifiedBy>Paul S</cp:lastModifiedBy>
  <cp:lastPrinted>2019-03-21T13:31:27Z</cp:lastPrinted>
  <dcterms:created xsi:type="dcterms:W3CDTF">2014-04-10T13:54:36Z</dcterms:created>
  <dcterms:modified xsi:type="dcterms:W3CDTF">2019-03-21T13:31:50Z</dcterms:modified>
</cp:coreProperties>
</file>